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ЭтаКнига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Прун ВВ\Расчетные таблицы\"/>
    </mc:Choice>
  </mc:AlternateContent>
  <workbookProtection workbookAlgorithmName="SHA-512" workbookHashValue="HRV0X6pcjbg5slvExIKonT+hcxOvvfldCzrCwNLR0YOpaT0QejReoqc/0/YUhqHiBMn18rmejFiK+eim/zglcA==" workbookSaltValue="B79kzHJwncWBuCJ+enx1xQ==" workbookSpinCount="100000" lockStructure="1"/>
  <bookViews>
    <workbookView xWindow="0" yWindow="0" windowWidth="23040" windowHeight="9192" tabRatio="681" activeTab="5"/>
  </bookViews>
  <sheets>
    <sheet name="Подвесная" sheetId="5" r:id="rId1"/>
    <sheet name="Подвесная угловая" sheetId="10" r:id="rId2"/>
    <sheet name="Складная" sheetId="4" r:id="rId3"/>
    <sheet name="Распашная" sheetId="3" r:id="rId4"/>
    <sheet name="Стационарная" sheetId="1" r:id="rId5"/>
    <sheet name="Цены" sheetId="9" r:id="rId6"/>
  </sheets>
  <calcPr calcId="162913"/>
</workbook>
</file>

<file path=xl/calcChain.xml><?xml version="1.0" encoding="utf-8"?>
<calcChain xmlns="http://schemas.openxmlformats.org/spreadsheetml/2006/main">
  <c r="O186" i="9" l="1"/>
  <c r="O187" i="9"/>
  <c r="O188" i="9"/>
  <c r="K188" i="9"/>
  <c r="J188" i="9" s="1"/>
  <c r="K187" i="9"/>
  <c r="J187" i="9" s="1"/>
  <c r="K186" i="9"/>
  <c r="J186" i="9" s="1"/>
  <c r="O185" i="9"/>
  <c r="K185" i="9"/>
  <c r="J185" i="9" s="1"/>
  <c r="R42" i="5" s="1"/>
  <c r="O37" i="4" l="1"/>
  <c r="BL54" i="1" l="1"/>
  <c r="BM54" i="1"/>
  <c r="BN54" i="1"/>
  <c r="BO54" i="1"/>
  <c r="BP54" i="1"/>
  <c r="BL55" i="1"/>
  <c r="BJ55" i="1" s="1"/>
  <c r="BM55" i="1"/>
  <c r="BN55" i="1"/>
  <c r="BO55" i="1"/>
  <c r="BP55" i="1"/>
  <c r="BL56" i="1"/>
  <c r="BM56" i="1"/>
  <c r="BN56" i="1"/>
  <c r="BO56" i="1"/>
  <c r="BP56" i="1"/>
  <c r="BN57" i="1"/>
  <c r="BL58" i="1"/>
  <c r="BM58" i="1"/>
  <c r="BN58" i="1"/>
  <c r="BO58" i="1"/>
  <c r="BK58" i="1" s="1"/>
  <c r="BP58" i="1"/>
  <c r="BM53" i="1"/>
  <c r="BN53" i="1"/>
  <c r="BO53" i="1"/>
  <c r="BP53" i="1"/>
  <c r="BL53" i="1"/>
  <c r="BL39" i="1"/>
  <c r="BM39" i="1"/>
  <c r="BN39" i="1"/>
  <c r="BO39" i="1"/>
  <c r="BP39" i="1"/>
  <c r="BL40" i="1"/>
  <c r="BJ40" i="1" s="1"/>
  <c r="AE12" i="1" s="1"/>
  <c r="AS12" i="1" s="1"/>
  <c r="BM40" i="1"/>
  <c r="BN40" i="1"/>
  <c r="BO40" i="1"/>
  <c r="BP40" i="1"/>
  <c r="BL41" i="1"/>
  <c r="BM41" i="1"/>
  <c r="BJ41" i="1" s="1"/>
  <c r="AE13" i="1" s="1"/>
  <c r="AS13" i="1" s="1"/>
  <c r="BN41" i="1"/>
  <c r="BO41" i="1"/>
  <c r="BP41" i="1"/>
  <c r="BN42" i="1"/>
  <c r="BL43" i="1"/>
  <c r="BM43" i="1"/>
  <c r="BN43" i="1"/>
  <c r="BO43" i="1"/>
  <c r="BE43" i="1" s="1"/>
  <c r="Z15" i="1" s="1"/>
  <c r="AN15" i="1" s="1"/>
  <c r="BP43" i="1"/>
  <c r="BM38" i="1"/>
  <c r="BN38" i="1"/>
  <c r="BO38" i="1"/>
  <c r="BP38" i="1"/>
  <c r="BL38" i="1"/>
  <c r="BD41" i="1"/>
  <c r="Y13" i="1" s="1"/>
  <c r="AM13" i="1" s="1"/>
  <c r="U13" i="1"/>
  <c r="AI13" i="1" s="1"/>
  <c r="V13" i="1"/>
  <c r="W13" i="1"/>
  <c r="AK13" i="1" s="1"/>
  <c r="X13" i="1"/>
  <c r="AL13" i="1" s="1"/>
  <c r="Z13" i="1"/>
  <c r="AN13" i="1" s="1"/>
  <c r="AA13" i="1"/>
  <c r="AO13" i="1" s="1"/>
  <c r="AB13" i="1"/>
  <c r="AP13" i="1" s="1"/>
  <c r="AC13" i="1"/>
  <c r="AQ13" i="1" s="1"/>
  <c r="AD13" i="1"/>
  <c r="AR13" i="1" s="1"/>
  <c r="AF13" i="1"/>
  <c r="AT13" i="1" s="1"/>
  <c r="U15" i="1"/>
  <c r="AI15" i="1" s="1"/>
  <c r="V15" i="1"/>
  <c r="AJ15" i="1" s="1"/>
  <c r="W15" i="1"/>
  <c r="AK15" i="1" s="1"/>
  <c r="X15" i="1"/>
  <c r="AL15" i="1" s="1"/>
  <c r="Y15" i="1"/>
  <c r="AM15" i="1" s="1"/>
  <c r="AA15" i="1"/>
  <c r="AO15" i="1" s="1"/>
  <c r="AB15" i="1"/>
  <c r="AP15" i="1" s="1"/>
  <c r="AC15" i="1"/>
  <c r="AQ15" i="1" s="1"/>
  <c r="AD15" i="1"/>
  <c r="AR15" i="1" s="1"/>
  <c r="AE15" i="1"/>
  <c r="AS15" i="1" s="1"/>
  <c r="V12" i="1"/>
  <c r="AJ12" i="1" s="1"/>
  <c r="W12" i="1"/>
  <c r="AK12" i="1" s="1"/>
  <c r="X12" i="1"/>
  <c r="AL12" i="1" s="1"/>
  <c r="Z12" i="1"/>
  <c r="AN12" i="1" s="1"/>
  <c r="AA12" i="1"/>
  <c r="AO12" i="1" s="1"/>
  <c r="AB12" i="1"/>
  <c r="AP12" i="1" s="1"/>
  <c r="AC12" i="1"/>
  <c r="AQ12" i="1" s="1"/>
  <c r="AD12" i="1"/>
  <c r="AR12" i="1" s="1"/>
  <c r="AF12" i="1"/>
  <c r="AT12" i="1" s="1"/>
  <c r="U12" i="1"/>
  <c r="AI12" i="1" s="1"/>
  <c r="V10" i="1"/>
  <c r="AJ10" i="1" s="1"/>
  <c r="W10" i="1"/>
  <c r="AK10" i="1" s="1"/>
  <c r="X10" i="1"/>
  <c r="AL10" i="1" s="1"/>
  <c r="Z10" i="1"/>
  <c r="AN10" i="1" s="1"/>
  <c r="AA10" i="1"/>
  <c r="AO10" i="1" s="1"/>
  <c r="AB10" i="1"/>
  <c r="AP10" i="1" s="1"/>
  <c r="AC10" i="1"/>
  <c r="AQ10" i="1" s="1"/>
  <c r="AD10" i="1"/>
  <c r="AR10" i="1" s="1"/>
  <c r="AF10" i="1"/>
  <c r="AT10" i="1" s="1"/>
  <c r="U10" i="1"/>
  <c r="AI10" i="1" s="1"/>
  <c r="V9" i="1"/>
  <c r="W9" i="1"/>
  <c r="X9" i="1"/>
  <c r="Y9" i="1"/>
  <c r="Z9" i="1"/>
  <c r="AA9" i="1"/>
  <c r="AB9" i="1"/>
  <c r="AC9" i="1"/>
  <c r="AD9" i="1"/>
  <c r="AE9" i="1"/>
  <c r="AF9" i="1"/>
  <c r="U9" i="1"/>
  <c r="BJ56" i="1"/>
  <c r="BJ53" i="1"/>
  <c r="BK52" i="1"/>
  <c r="BK43" i="1"/>
  <c r="AF15" i="1" s="1"/>
  <c r="AT15" i="1" s="1"/>
  <c r="BJ38" i="1"/>
  <c r="AE10" i="1" s="1"/>
  <c r="AS10" i="1" s="1"/>
  <c r="BD38" i="1"/>
  <c r="Y10" i="1" s="1"/>
  <c r="AM10" i="1" s="1"/>
  <c r="BK37" i="1"/>
  <c r="BK28" i="1"/>
  <c r="BJ26" i="1"/>
  <c r="BJ25" i="1"/>
  <c r="BJ12" i="1"/>
  <c r="BJ23" i="1"/>
  <c r="BK15" i="1"/>
  <c r="BJ13" i="1"/>
  <c r="BJ10" i="1"/>
  <c r="BK22" i="1"/>
  <c r="BK9" i="1"/>
  <c r="U10" i="3"/>
  <c r="V10" i="3"/>
  <c r="W10" i="3"/>
  <c r="X10" i="3"/>
  <c r="Y10" i="3"/>
  <c r="Z10" i="3"/>
  <c r="AA10" i="3"/>
  <c r="AB10" i="3"/>
  <c r="AC10" i="3"/>
  <c r="AD10" i="3"/>
  <c r="AE10" i="3"/>
  <c r="AF10" i="3"/>
  <c r="V11" i="3"/>
  <c r="AJ11" i="3" s="1"/>
  <c r="AC11" i="3"/>
  <c r="AQ11" i="3" s="1"/>
  <c r="U12" i="3"/>
  <c r="V12" i="3"/>
  <c r="AJ12" i="3" s="1"/>
  <c r="W12" i="3"/>
  <c r="X12" i="3"/>
  <c r="AL12" i="3" s="1"/>
  <c r="Y12" i="3"/>
  <c r="Z12" i="3"/>
  <c r="AA12" i="3"/>
  <c r="AB12" i="3"/>
  <c r="AP12" i="3" s="1"/>
  <c r="AC12" i="3"/>
  <c r="AD12" i="3"/>
  <c r="AE12" i="3"/>
  <c r="AF12" i="3"/>
  <c r="AT12" i="3" s="1"/>
  <c r="V9" i="3"/>
  <c r="W9" i="3"/>
  <c r="X9" i="3"/>
  <c r="Y9" i="3"/>
  <c r="Z9" i="3"/>
  <c r="AA9" i="3"/>
  <c r="AB9" i="3"/>
  <c r="AC9" i="3"/>
  <c r="AD9" i="3"/>
  <c r="AE9" i="3"/>
  <c r="AF9" i="3"/>
  <c r="U9" i="3"/>
  <c r="AI10" i="3"/>
  <c r="AJ10" i="3"/>
  <c r="AK10" i="3"/>
  <c r="AL10" i="3"/>
  <c r="AM10" i="3"/>
  <c r="AN10" i="3"/>
  <c r="AO10" i="3"/>
  <c r="AP10" i="3"/>
  <c r="AQ10" i="3"/>
  <c r="AR10" i="3"/>
  <c r="AS10" i="3"/>
  <c r="AT10" i="3"/>
  <c r="AI12" i="3"/>
  <c r="AK12" i="3"/>
  <c r="AM12" i="3"/>
  <c r="AN12" i="3"/>
  <c r="AO12" i="3"/>
  <c r="AQ12" i="3"/>
  <c r="AR12" i="3"/>
  <c r="AS12" i="3"/>
  <c r="BJ42" i="3"/>
  <c r="BD42" i="3"/>
  <c r="BJ31" i="3"/>
  <c r="BD31" i="3"/>
  <c r="BN43" i="3"/>
  <c r="BL44" i="3"/>
  <c r="BM44" i="3"/>
  <c r="BN44" i="3"/>
  <c r="BO44" i="3"/>
  <c r="BP44" i="3"/>
  <c r="BK44" i="3" s="1"/>
  <c r="BQ44" i="3"/>
  <c r="BR44" i="3"/>
  <c r="BM42" i="3"/>
  <c r="BN42" i="3"/>
  <c r="BO42" i="3"/>
  <c r="BP42" i="3"/>
  <c r="BQ42" i="3"/>
  <c r="BR42" i="3"/>
  <c r="BL42" i="3"/>
  <c r="BN32" i="3"/>
  <c r="BL33" i="3"/>
  <c r="BM33" i="3"/>
  <c r="BN33" i="3"/>
  <c r="BO33" i="3"/>
  <c r="BP33" i="3"/>
  <c r="BK33" i="3" s="1"/>
  <c r="BQ33" i="3"/>
  <c r="BR33" i="3"/>
  <c r="BM31" i="3"/>
  <c r="BN31" i="3"/>
  <c r="BO31" i="3"/>
  <c r="BP31" i="3"/>
  <c r="BQ31" i="3"/>
  <c r="BR31" i="3"/>
  <c r="BL31" i="3"/>
  <c r="BK41" i="3"/>
  <c r="BK30" i="3"/>
  <c r="BK19" i="3"/>
  <c r="BK9" i="3"/>
  <c r="BE44" i="3"/>
  <c r="BK48" i="4"/>
  <c r="BK35" i="4"/>
  <c r="BK22" i="4"/>
  <c r="V11" i="4"/>
  <c r="AJ11" i="4" s="1"/>
  <c r="W11" i="4"/>
  <c r="AK11" i="4" s="1"/>
  <c r="X11" i="4"/>
  <c r="AL11" i="4" s="1"/>
  <c r="Y11" i="4"/>
  <c r="AM11" i="4" s="1"/>
  <c r="Z11" i="4"/>
  <c r="AN11" i="4" s="1"/>
  <c r="AA11" i="4"/>
  <c r="AO11" i="4" s="1"/>
  <c r="AB11" i="4"/>
  <c r="AP11" i="4" s="1"/>
  <c r="AC11" i="4"/>
  <c r="AQ11" i="4" s="1"/>
  <c r="AD11" i="4"/>
  <c r="AR11" i="4" s="1"/>
  <c r="AE11" i="4"/>
  <c r="AS11" i="4" s="1"/>
  <c r="AF11" i="4"/>
  <c r="AT11" i="4" s="1"/>
  <c r="V12" i="4"/>
  <c r="AJ12" i="4" s="1"/>
  <c r="W12" i="4"/>
  <c r="AK12" i="4" s="1"/>
  <c r="X12" i="4"/>
  <c r="AL12" i="4" s="1"/>
  <c r="Y12" i="4"/>
  <c r="AM12" i="4" s="1"/>
  <c r="Z12" i="4"/>
  <c r="AN12" i="4" s="1"/>
  <c r="AA12" i="4"/>
  <c r="AO12" i="4" s="1"/>
  <c r="AB12" i="4"/>
  <c r="AP12" i="4" s="1"/>
  <c r="AC12" i="4"/>
  <c r="AQ12" i="4" s="1"/>
  <c r="AD12" i="4"/>
  <c r="AR12" i="4" s="1"/>
  <c r="AE12" i="4"/>
  <c r="AS12" i="4" s="1"/>
  <c r="AF12" i="4"/>
  <c r="AT12" i="4" s="1"/>
  <c r="V13" i="4"/>
  <c r="AJ13" i="4" s="1"/>
  <c r="W13" i="4"/>
  <c r="AK13" i="4" s="1"/>
  <c r="X13" i="4"/>
  <c r="AL13" i="4" s="1"/>
  <c r="Y13" i="4"/>
  <c r="AM13" i="4" s="1"/>
  <c r="Z13" i="4"/>
  <c r="AN13" i="4" s="1"/>
  <c r="AA13" i="4"/>
  <c r="AO13" i="4" s="1"/>
  <c r="AB13" i="4"/>
  <c r="AP13" i="4" s="1"/>
  <c r="AC13" i="4"/>
  <c r="AQ13" i="4" s="1"/>
  <c r="AD13" i="4"/>
  <c r="AR13" i="4" s="1"/>
  <c r="AE13" i="4"/>
  <c r="AS13" i="4" s="1"/>
  <c r="AF13" i="4"/>
  <c r="AT13" i="4" s="1"/>
  <c r="V14" i="4"/>
  <c r="AJ14" i="4" s="1"/>
  <c r="AC14" i="4"/>
  <c r="AQ14" i="4" s="1"/>
  <c r="V15" i="4"/>
  <c r="AJ15" i="4" s="1"/>
  <c r="W15" i="4"/>
  <c r="AK15" i="4" s="1"/>
  <c r="X15" i="4"/>
  <c r="AL15" i="4" s="1"/>
  <c r="Y15" i="4"/>
  <c r="AM15" i="4" s="1"/>
  <c r="Z15" i="4"/>
  <c r="AN15" i="4" s="1"/>
  <c r="AA15" i="4"/>
  <c r="AO15" i="4" s="1"/>
  <c r="AB15" i="4"/>
  <c r="AP15" i="4" s="1"/>
  <c r="AC15" i="4"/>
  <c r="AQ15" i="4" s="1"/>
  <c r="AD15" i="4"/>
  <c r="AR15" i="4" s="1"/>
  <c r="AE15" i="4"/>
  <c r="AS15" i="4" s="1"/>
  <c r="AF15" i="4"/>
  <c r="AT15" i="4" s="1"/>
  <c r="U12" i="4"/>
  <c r="AI12" i="4" s="1"/>
  <c r="U13" i="4"/>
  <c r="U15" i="4"/>
  <c r="AI15" i="4" s="1"/>
  <c r="U11" i="4"/>
  <c r="AI11" i="4" s="1"/>
  <c r="V10" i="4"/>
  <c r="AJ10" i="4" s="1"/>
  <c r="W10" i="4"/>
  <c r="AK10" i="4" s="1"/>
  <c r="X10" i="4"/>
  <c r="AL10" i="4" s="1"/>
  <c r="Y10" i="4"/>
  <c r="AM10" i="4" s="1"/>
  <c r="Z10" i="4"/>
  <c r="AN10" i="4" s="1"/>
  <c r="AA10" i="4"/>
  <c r="AO10" i="4" s="1"/>
  <c r="AB10" i="4"/>
  <c r="AP10" i="4" s="1"/>
  <c r="AC10" i="4"/>
  <c r="AQ10" i="4" s="1"/>
  <c r="AD10" i="4"/>
  <c r="AR10" i="4" s="1"/>
  <c r="AE10" i="4"/>
  <c r="AS10" i="4" s="1"/>
  <c r="AF10" i="4"/>
  <c r="AT10" i="4" s="1"/>
  <c r="U10" i="4"/>
  <c r="AI10" i="4" s="1"/>
  <c r="V9" i="4"/>
  <c r="W9" i="4"/>
  <c r="X9" i="4"/>
  <c r="Y9" i="4"/>
  <c r="Z9" i="4"/>
  <c r="AA9" i="4"/>
  <c r="AB9" i="4"/>
  <c r="AC9" i="4"/>
  <c r="AD9" i="4"/>
  <c r="AE9" i="4"/>
  <c r="AF9" i="4"/>
  <c r="BK28" i="4"/>
  <c r="BJ26" i="4"/>
  <c r="BJ25" i="4"/>
  <c r="BK24" i="4"/>
  <c r="BJ23" i="4"/>
  <c r="BK15" i="4"/>
  <c r="BJ12" i="4"/>
  <c r="BJ13" i="4"/>
  <c r="BK11" i="4"/>
  <c r="BJ10" i="4"/>
  <c r="BJ49" i="4"/>
  <c r="BJ36" i="4"/>
  <c r="U9" i="4"/>
  <c r="BP54" i="4"/>
  <c r="BO54" i="4"/>
  <c r="BK54" i="4" s="1"/>
  <c r="BE54" i="4"/>
  <c r="BM52" i="4"/>
  <c r="BL52" i="4"/>
  <c r="BJ52" i="4" s="1"/>
  <c r="BM51" i="4"/>
  <c r="BL51" i="4"/>
  <c r="BJ51" i="4" s="1"/>
  <c r="BD51" i="4"/>
  <c r="BM50" i="4"/>
  <c r="BL50" i="4"/>
  <c r="BK50" i="4" s="1"/>
  <c r="BE50" i="4"/>
  <c r="BM49" i="4"/>
  <c r="BL49" i="4"/>
  <c r="BD49" i="4"/>
  <c r="BP41" i="4"/>
  <c r="BO41" i="4"/>
  <c r="BK41" i="4" s="1"/>
  <c r="BM39" i="4"/>
  <c r="BL39" i="4"/>
  <c r="BD39" i="4" s="1"/>
  <c r="BJ39" i="4"/>
  <c r="BM38" i="4"/>
  <c r="BL38" i="4"/>
  <c r="BJ38" i="4" s="1"/>
  <c r="BM37" i="4"/>
  <c r="BL37" i="4"/>
  <c r="BK37" i="4" s="1"/>
  <c r="BM36" i="4"/>
  <c r="BL36" i="4"/>
  <c r="BJ48" i="5"/>
  <c r="BM11" i="5"/>
  <c r="BJ37" i="5"/>
  <c r="BJ25" i="5"/>
  <c r="BJ13" i="5"/>
  <c r="BJ10" i="5"/>
  <c r="AI10" i="5"/>
  <c r="W15" i="10"/>
  <c r="AK15" i="10" s="1"/>
  <c r="X15" i="10"/>
  <c r="AL15" i="10" s="1"/>
  <c r="AA15" i="10"/>
  <c r="AO15" i="10" s="1"/>
  <c r="AC15" i="10"/>
  <c r="AQ15" i="10" s="1"/>
  <c r="AD15" i="10"/>
  <c r="AR15" i="10" s="1"/>
  <c r="AG15" i="10"/>
  <c r="AU15" i="10" s="1"/>
  <c r="W13" i="10"/>
  <c r="AK13" i="10" s="1"/>
  <c r="X13" i="10"/>
  <c r="AL13" i="10" s="1"/>
  <c r="Y13" i="10"/>
  <c r="AM13" i="10" s="1"/>
  <c r="AA13" i="10"/>
  <c r="AO13" i="10" s="1"/>
  <c r="AB13" i="10"/>
  <c r="AP13" i="10" s="1"/>
  <c r="AC13" i="10"/>
  <c r="AQ13" i="10" s="1"/>
  <c r="AD13" i="10"/>
  <c r="AR13" i="10" s="1"/>
  <c r="AE13" i="10"/>
  <c r="AS13" i="10" s="1"/>
  <c r="AG13" i="10"/>
  <c r="AU13" i="10" s="1"/>
  <c r="V13" i="10"/>
  <c r="AJ13" i="10" s="1"/>
  <c r="W11" i="10"/>
  <c r="AK11" i="10" s="1"/>
  <c r="X11" i="10"/>
  <c r="AL11" i="10" s="1"/>
  <c r="Y11" i="10"/>
  <c r="AM11" i="10" s="1"/>
  <c r="AA11" i="10"/>
  <c r="AO11" i="10" s="1"/>
  <c r="AB11" i="10"/>
  <c r="AP11" i="10" s="1"/>
  <c r="AC11" i="10"/>
  <c r="AQ11" i="10" s="1"/>
  <c r="AD11" i="10"/>
  <c r="AR11" i="10" s="1"/>
  <c r="AE11" i="10"/>
  <c r="AS11" i="10" s="1"/>
  <c r="AG11" i="10"/>
  <c r="AU11" i="10" s="1"/>
  <c r="V11" i="10"/>
  <c r="AJ11" i="10" s="1"/>
  <c r="W10" i="10"/>
  <c r="X10" i="10"/>
  <c r="Y10" i="10"/>
  <c r="Z10" i="10"/>
  <c r="AA10" i="10"/>
  <c r="AB10" i="10"/>
  <c r="AC10" i="10"/>
  <c r="AD10" i="10"/>
  <c r="AE10" i="10"/>
  <c r="AF10" i="10"/>
  <c r="V10" i="10"/>
  <c r="BD37" i="5"/>
  <c r="BD48" i="5"/>
  <c r="BP45" i="10"/>
  <c r="BR45" i="10"/>
  <c r="BP47" i="10"/>
  <c r="BP49" i="10"/>
  <c r="W9" i="10"/>
  <c r="X9" i="10"/>
  <c r="Y9" i="10"/>
  <c r="Z9" i="10"/>
  <c r="AA9" i="10"/>
  <c r="AB9" i="10"/>
  <c r="AC9" i="10"/>
  <c r="AD9" i="10"/>
  <c r="AE9" i="10"/>
  <c r="AF9" i="10"/>
  <c r="V9" i="10"/>
  <c r="BE58" i="1" l="1"/>
  <c r="BD40" i="1"/>
  <c r="Y12" i="1" s="1"/>
  <c r="AM12" i="1" s="1"/>
  <c r="AU12" i="1" s="1"/>
  <c r="AG12" i="1" s="1"/>
  <c r="BD53" i="1"/>
  <c r="BD55" i="1"/>
  <c r="BD56" i="1"/>
  <c r="AU10" i="1"/>
  <c r="AG10" i="1" s="1"/>
  <c r="AU15" i="1"/>
  <c r="AG15" i="1" s="1"/>
  <c r="AJ13" i="1"/>
  <c r="AU13" i="1" s="1"/>
  <c r="AG13" i="1" s="1"/>
  <c r="AU12" i="3"/>
  <c r="AG12" i="3" s="1"/>
  <c r="AU10" i="3"/>
  <c r="AG10" i="3" s="1"/>
  <c r="BE33" i="3"/>
  <c r="AU12" i="4"/>
  <c r="AG12" i="4" s="1"/>
  <c r="AU11" i="4"/>
  <c r="AG11" i="4" s="1"/>
  <c r="AU15" i="4"/>
  <c r="AG15" i="4" s="1"/>
  <c r="AI13" i="4"/>
  <c r="AU13" i="4" s="1"/>
  <c r="AG13" i="4" s="1"/>
  <c r="AU10" i="4"/>
  <c r="AG10" i="4" s="1"/>
  <c r="BD52" i="4"/>
  <c r="BD36" i="4"/>
  <c r="BE37" i="4"/>
  <c r="BD38" i="4"/>
  <c r="BE41" i="4"/>
  <c r="BM46" i="5"/>
  <c r="BM45" i="5"/>
  <c r="BL45" i="5"/>
  <c r="BJ45" i="5"/>
  <c r="BD45" i="5"/>
  <c r="BM35" i="5"/>
  <c r="BM34" i="5"/>
  <c r="BL34" i="5"/>
  <c r="BJ34" i="5"/>
  <c r="BD34" i="5"/>
  <c r="BM23" i="5"/>
  <c r="BM22" i="5"/>
  <c r="BL22" i="5"/>
  <c r="BJ22" i="5"/>
  <c r="BD22" i="5"/>
  <c r="V14" i="5"/>
  <c r="AJ14" i="5" s="1"/>
  <c r="AC14" i="5"/>
  <c r="AQ14" i="5" s="1"/>
  <c r="V13" i="5"/>
  <c r="AJ13" i="5" s="1"/>
  <c r="W13" i="5"/>
  <c r="AK13" i="5" s="1"/>
  <c r="Z13" i="5"/>
  <c r="AN13" i="5" s="1"/>
  <c r="AB13" i="5"/>
  <c r="AP13" i="5" s="1"/>
  <c r="AC13" i="5"/>
  <c r="AQ13" i="5" s="1"/>
  <c r="AF13" i="5"/>
  <c r="AT13" i="5" s="1"/>
  <c r="V11" i="5"/>
  <c r="AJ11" i="5" s="1"/>
  <c r="W11" i="5"/>
  <c r="AK11" i="5" s="1"/>
  <c r="X11" i="5"/>
  <c r="AL11" i="5" s="1"/>
  <c r="Z11" i="5"/>
  <c r="AN11" i="5" s="1"/>
  <c r="AA11" i="5"/>
  <c r="AO11" i="5" s="1"/>
  <c r="AB11" i="5"/>
  <c r="AP11" i="5" s="1"/>
  <c r="AC11" i="5"/>
  <c r="AQ11" i="5" s="1"/>
  <c r="AD11" i="5"/>
  <c r="AR11" i="5" s="1"/>
  <c r="AF11" i="5"/>
  <c r="AT11" i="5" s="1"/>
  <c r="U11" i="5"/>
  <c r="AI11" i="5" s="1"/>
  <c r="V10" i="5"/>
  <c r="AJ10" i="5" s="1"/>
  <c r="W10" i="5"/>
  <c r="AK10" i="5" s="1"/>
  <c r="X10" i="5"/>
  <c r="AL10" i="5" s="1"/>
  <c r="Z10" i="5"/>
  <c r="AN10" i="5" s="1"/>
  <c r="AA10" i="5"/>
  <c r="AO10" i="5" s="1"/>
  <c r="AB10" i="5"/>
  <c r="AP10" i="5" s="1"/>
  <c r="AC10" i="5"/>
  <c r="AQ10" i="5" s="1"/>
  <c r="AD10" i="5"/>
  <c r="AR10" i="5" s="1"/>
  <c r="AF10" i="5"/>
  <c r="AT10" i="5" s="1"/>
  <c r="U10" i="5"/>
  <c r="V9" i="5"/>
  <c r="W9" i="5"/>
  <c r="X9" i="5"/>
  <c r="Y9" i="5"/>
  <c r="Z9" i="5"/>
  <c r="AA9" i="5"/>
  <c r="AB9" i="5"/>
  <c r="AC9" i="5"/>
  <c r="AD9" i="5"/>
  <c r="AE9" i="5"/>
  <c r="U9" i="5"/>
  <c r="P30" i="10" l="1"/>
  <c r="P29" i="10"/>
  <c r="P45" i="10"/>
  <c r="P34" i="10"/>
  <c r="P26" i="10"/>
  <c r="J18" i="10" l="1"/>
  <c r="J17" i="10"/>
  <c r="BY61" i="10" l="1"/>
  <c r="BY62" i="10"/>
  <c r="BY58" i="10"/>
  <c r="BY59" i="10"/>
  <c r="BY60" i="10"/>
  <c r="BV58" i="5"/>
  <c r="BV73" i="3" s="1"/>
  <c r="BV59" i="5"/>
  <c r="BV60" i="1" s="1"/>
  <c r="BV60" i="5"/>
  <c r="BV61" i="1" s="1"/>
  <c r="BV61" i="5"/>
  <c r="AY58" i="4" s="1"/>
  <c r="BV62" i="5"/>
  <c r="BV77" i="3" s="1"/>
  <c r="K94" i="9"/>
  <c r="J94" i="9" s="1"/>
  <c r="K95" i="9"/>
  <c r="J95" i="9" s="1"/>
  <c r="K96" i="9"/>
  <c r="J96" i="9" s="1"/>
  <c r="K97" i="9"/>
  <c r="J97" i="9" s="1"/>
  <c r="K98" i="9"/>
  <c r="J98" i="9" s="1"/>
  <c r="O94" i="9"/>
  <c r="O95" i="9"/>
  <c r="O96" i="9"/>
  <c r="O97" i="9"/>
  <c r="O98" i="9"/>
  <c r="K80" i="9"/>
  <c r="J80" i="9" s="1"/>
  <c r="K81" i="9"/>
  <c r="J81" i="9" s="1"/>
  <c r="K82" i="9"/>
  <c r="J82" i="9" s="1"/>
  <c r="K83" i="9"/>
  <c r="J83" i="9" s="1"/>
  <c r="K84" i="9"/>
  <c r="J84" i="9" s="1"/>
  <c r="O80" i="9"/>
  <c r="O81" i="9"/>
  <c r="O82" i="9"/>
  <c r="O83" i="9"/>
  <c r="O84" i="9"/>
  <c r="O70" i="9"/>
  <c r="O71" i="9"/>
  <c r="O58" i="9"/>
  <c r="O59" i="9"/>
  <c r="O60" i="9"/>
  <c r="O61" i="9"/>
  <c r="O62" i="9"/>
  <c r="O45" i="9"/>
  <c r="O46" i="9"/>
  <c r="O47" i="9"/>
  <c r="O48" i="9"/>
  <c r="O49" i="9"/>
  <c r="O27" i="9"/>
  <c r="O28" i="9"/>
  <c r="O29" i="9"/>
  <c r="O30" i="9"/>
  <c r="O31" i="9"/>
  <c r="O14" i="9"/>
  <c r="O15" i="9"/>
  <c r="O16" i="9"/>
  <c r="O17" i="9"/>
  <c r="O18" i="9"/>
  <c r="K70" i="9"/>
  <c r="J70" i="9" s="1"/>
  <c r="K71" i="9"/>
  <c r="J71" i="9" s="1"/>
  <c r="K58" i="9"/>
  <c r="J58" i="9" s="1"/>
  <c r="K59" i="9"/>
  <c r="J59" i="9" s="1"/>
  <c r="K60" i="9"/>
  <c r="J60" i="9" s="1"/>
  <c r="K61" i="9"/>
  <c r="J61" i="9" s="1"/>
  <c r="K62" i="9"/>
  <c r="J62" i="9" s="1"/>
  <c r="K45" i="9"/>
  <c r="J45" i="9" s="1"/>
  <c r="K46" i="9"/>
  <c r="J46" i="9" s="1"/>
  <c r="K47" i="9"/>
  <c r="J47" i="9" s="1"/>
  <c r="K48" i="9"/>
  <c r="J48" i="9" s="1"/>
  <c r="K49" i="9"/>
  <c r="J49" i="9" s="1"/>
  <c r="K27" i="9"/>
  <c r="J27" i="9" s="1"/>
  <c r="K28" i="9"/>
  <c r="J28" i="9" s="1"/>
  <c r="K29" i="9"/>
  <c r="J29" i="9" s="1"/>
  <c r="K30" i="9"/>
  <c r="J30" i="9" s="1"/>
  <c r="K31" i="9"/>
  <c r="J31" i="9" s="1"/>
  <c r="K14" i="9"/>
  <c r="J14" i="9" s="1"/>
  <c r="K15" i="9"/>
  <c r="J15" i="9" s="1"/>
  <c r="K16" i="9"/>
  <c r="J16" i="9" s="1"/>
  <c r="K17" i="9"/>
  <c r="J17" i="9" s="1"/>
  <c r="K18" i="9"/>
  <c r="J18" i="9" s="1"/>
  <c r="M13" i="1"/>
  <c r="M10" i="3"/>
  <c r="M13" i="4"/>
  <c r="L18" i="10"/>
  <c r="L17" i="10"/>
  <c r="N16" i="10"/>
  <c r="N15" i="10"/>
  <c r="N18" i="10"/>
  <c r="N17" i="10"/>
  <c r="P35" i="10" l="1"/>
  <c r="BV76" i="3"/>
  <c r="AY55" i="4"/>
  <c r="BV59" i="1"/>
  <c r="AY59" i="4"/>
  <c r="BV75" i="3"/>
  <c r="BV62" i="1"/>
  <c r="BV63" i="1"/>
  <c r="AY57" i="4"/>
  <c r="BV74" i="3"/>
  <c r="AY56" i="4"/>
  <c r="P44" i="10"/>
  <c r="S44" i="10" s="1"/>
  <c r="O42" i="5"/>
  <c r="K178" i="9" l="1"/>
  <c r="K179" i="9"/>
  <c r="O25" i="5" l="1"/>
  <c r="M12" i="5" l="1"/>
  <c r="M11" i="5"/>
  <c r="M10" i="5"/>
  <c r="M9" i="5"/>
  <c r="E9" i="5"/>
  <c r="O43" i="5"/>
  <c r="O32" i="5"/>
  <c r="O31" i="5"/>
  <c r="L11" i="5"/>
  <c r="K5" i="5"/>
  <c r="L10" i="5" s="1"/>
  <c r="L12" i="5" s="1"/>
  <c r="K4" i="5"/>
  <c r="M13" i="5" l="1"/>
  <c r="M14" i="5"/>
  <c r="O29" i="5"/>
  <c r="O24" i="5" s="1"/>
  <c r="K4" i="4"/>
  <c r="O168" i="9" l="1"/>
  <c r="O169" i="9"/>
  <c r="O167" i="9"/>
  <c r="K169" i="9"/>
  <c r="J169" i="9" s="1"/>
  <c r="K168" i="9"/>
  <c r="J168" i="9" s="1"/>
  <c r="K167" i="9"/>
  <c r="J167" i="9" s="1"/>
  <c r="N5" i="10" l="1"/>
  <c r="L5" i="10" l="1"/>
  <c r="K4" i="1" l="1"/>
  <c r="L9" i="1" s="1"/>
  <c r="M9" i="1"/>
  <c r="K6" i="9"/>
  <c r="J6" i="9" s="1"/>
  <c r="K5" i="1"/>
  <c r="F18" i="1" s="1"/>
  <c r="K37" i="9"/>
  <c r="J37" i="9" s="1"/>
  <c r="L11" i="1"/>
  <c r="M11" i="1" s="1"/>
  <c r="K32" i="9"/>
  <c r="J32" i="9" s="1"/>
  <c r="L12" i="1"/>
  <c r="M12" i="1"/>
  <c r="K19" i="9"/>
  <c r="J19" i="9" s="1"/>
  <c r="K50" i="9"/>
  <c r="J50" i="9" s="1"/>
  <c r="BW17" i="10" s="1" a="1"/>
  <c r="BW17" i="10" s="1"/>
  <c r="M15" i="1"/>
  <c r="K85" i="9"/>
  <c r="J85" i="9" s="1"/>
  <c r="BT15" i="1" s="1"/>
  <c r="M14" i="1"/>
  <c r="O24" i="1" s="1"/>
  <c r="K184" i="9"/>
  <c r="J184" i="9" s="1"/>
  <c r="O25" i="1"/>
  <c r="K177" i="9"/>
  <c r="J177" i="9" s="1"/>
  <c r="G18" i="1"/>
  <c r="G21" i="1"/>
  <c r="G22" i="1"/>
  <c r="J178" i="9"/>
  <c r="O27" i="1"/>
  <c r="K171" i="9"/>
  <c r="J171" i="9" s="1"/>
  <c r="O28" i="1"/>
  <c r="K132" i="9"/>
  <c r="J132" i="9" s="1"/>
  <c r="O29" i="1"/>
  <c r="K161" i="9"/>
  <c r="J161" i="9" s="1"/>
  <c r="K180" i="9"/>
  <c r="J180" i="9" s="1"/>
  <c r="K176" i="9"/>
  <c r="J176" i="9" s="1"/>
  <c r="O23" i="1"/>
  <c r="K131" i="9"/>
  <c r="J131" i="9" s="1"/>
  <c r="G19" i="1"/>
  <c r="G20" i="1"/>
  <c r="K103" i="9"/>
  <c r="J103" i="9" s="1"/>
  <c r="K86" i="9"/>
  <c r="J86" i="9" s="1"/>
  <c r="K5" i="3"/>
  <c r="T13" i="1"/>
  <c r="J14" i="1"/>
  <c r="T15" i="1"/>
  <c r="T12" i="1"/>
  <c r="T10" i="1"/>
  <c r="T9" i="1"/>
  <c r="J11" i="3"/>
  <c r="L11" i="3"/>
  <c r="BM11" i="3" s="1"/>
  <c r="BM21" i="3" s="1"/>
  <c r="BM32" i="3" s="1"/>
  <c r="BM43" i="3" s="1"/>
  <c r="M11" i="3"/>
  <c r="O25" i="3" s="1"/>
  <c r="K4" i="3"/>
  <c r="L9" i="3" s="1"/>
  <c r="O9" i="3" s="1"/>
  <c r="M9" i="3"/>
  <c r="K34" i="9"/>
  <c r="J34" i="9" s="1"/>
  <c r="BT12" i="3" s="1" a="1"/>
  <c r="BT12" i="3" s="1"/>
  <c r="O26" i="3"/>
  <c r="CA4" i="3"/>
  <c r="O30" i="3"/>
  <c r="O28" i="3"/>
  <c r="O29" i="3"/>
  <c r="O19" i="3"/>
  <c r="K121" i="9"/>
  <c r="J121" i="9" s="1"/>
  <c r="R19" i="3" s="1"/>
  <c r="O34" i="3"/>
  <c r="K124" i="9"/>
  <c r="J124" i="9" s="1"/>
  <c r="K156" i="9"/>
  <c r="J156" i="9" s="1"/>
  <c r="K174" i="9"/>
  <c r="J174" i="9" s="1"/>
  <c r="K175" i="9"/>
  <c r="J175" i="9" s="1"/>
  <c r="K100" i="9"/>
  <c r="J100" i="9" s="1"/>
  <c r="K104" i="9"/>
  <c r="J104" i="9" s="1"/>
  <c r="K118" i="9"/>
  <c r="J118" i="9" s="1"/>
  <c r="K147" i="9"/>
  <c r="J147" i="9" s="1"/>
  <c r="T10" i="3"/>
  <c r="T12" i="3"/>
  <c r="T9" i="3"/>
  <c r="P40" i="10"/>
  <c r="K5" i="4"/>
  <c r="F20" i="4" s="1"/>
  <c r="F41" i="10"/>
  <c r="L13" i="5"/>
  <c r="F26" i="10"/>
  <c r="AZ42" i="10" s="1"/>
  <c r="F27" i="10"/>
  <c r="F28" i="10"/>
  <c r="F29" i="10"/>
  <c r="F43" i="10"/>
  <c r="AZ53" i="10" s="1"/>
  <c r="F44" i="10"/>
  <c r="G26" i="10"/>
  <c r="G27" i="10"/>
  <c r="G29" i="10"/>
  <c r="G41" i="10"/>
  <c r="G42" i="10"/>
  <c r="G44" i="10"/>
  <c r="F40" i="10"/>
  <c r="CI6" i="10"/>
  <c r="F25" i="10"/>
  <c r="CE25" i="10"/>
  <c r="CE26" i="10"/>
  <c r="CE28" i="10"/>
  <c r="C21" i="10"/>
  <c r="D36" i="10" s="1"/>
  <c r="L9" i="5"/>
  <c r="N9" i="10"/>
  <c r="M16" i="10"/>
  <c r="AZ16" i="10" s="1"/>
  <c r="M18" i="10"/>
  <c r="AZ18" i="10" s="1"/>
  <c r="M15" i="10"/>
  <c r="M17" i="10"/>
  <c r="G43" i="10"/>
  <c r="G40" i="10"/>
  <c r="K17" i="10"/>
  <c r="CE42" i="10"/>
  <c r="CE43" i="10"/>
  <c r="CE40" i="10"/>
  <c r="CE41" i="10"/>
  <c r="C36" i="10"/>
  <c r="L4" i="10"/>
  <c r="M9" i="10" s="1"/>
  <c r="P33" i="10"/>
  <c r="BY50" i="10"/>
  <c r="K63" i="9"/>
  <c r="J63" i="9" s="1"/>
  <c r="BW10" i="10" s="1" a="1"/>
  <c r="BW10" i="10" s="1"/>
  <c r="U10" i="10"/>
  <c r="M11" i="10"/>
  <c r="M12" i="10"/>
  <c r="N11" i="10"/>
  <c r="N12" i="10"/>
  <c r="P32" i="10"/>
  <c r="K151" i="9"/>
  <c r="J151" i="9" s="1"/>
  <c r="K157" i="9"/>
  <c r="J157" i="9" s="1"/>
  <c r="P25" i="10"/>
  <c r="K149" i="9"/>
  <c r="J149" i="9" s="1"/>
  <c r="K158" i="9"/>
  <c r="J158" i="9" s="1"/>
  <c r="K129" i="9"/>
  <c r="J129" i="9" s="1"/>
  <c r="K130" i="9"/>
  <c r="J130" i="9" s="1"/>
  <c r="K111" i="9"/>
  <c r="J111" i="9" s="1"/>
  <c r="K128" i="9"/>
  <c r="J128" i="9" s="1"/>
  <c r="G25" i="10"/>
  <c r="G28" i="10"/>
  <c r="K152" i="9"/>
  <c r="J152" i="9" s="1"/>
  <c r="K117" i="9"/>
  <c r="J117" i="9" s="1"/>
  <c r="P39" i="10"/>
  <c r="P43" i="10"/>
  <c r="K146" i="9"/>
  <c r="J146" i="9" s="1"/>
  <c r="BY51" i="10"/>
  <c r="BY57" i="10"/>
  <c r="BY54" i="10"/>
  <c r="BQ17" i="10"/>
  <c r="BQ34" i="10" s="1"/>
  <c r="BQ50" i="10" s="1"/>
  <c r="BQ67" i="10" s="1"/>
  <c r="M13" i="10"/>
  <c r="BN13" i="10" s="1"/>
  <c r="M14" i="10"/>
  <c r="BN14" i="10" s="1"/>
  <c r="O13" i="10"/>
  <c r="BR13" i="10" s="1"/>
  <c r="L14" i="4"/>
  <c r="BP14" i="4" s="1"/>
  <c r="BP27" i="4" s="1"/>
  <c r="BP40" i="4" s="1"/>
  <c r="BP53" i="4" s="1"/>
  <c r="M14" i="4"/>
  <c r="J14" i="5"/>
  <c r="M15" i="4"/>
  <c r="BS66" i="10"/>
  <c r="BR66" i="10"/>
  <c r="K18" i="10"/>
  <c r="CE27" i="10"/>
  <c r="L10" i="4"/>
  <c r="M10" i="4"/>
  <c r="L11" i="4"/>
  <c r="M11" i="4"/>
  <c r="M12" i="4"/>
  <c r="O33" i="5"/>
  <c r="J14" i="4"/>
  <c r="U12" i="10"/>
  <c r="U13" i="10"/>
  <c r="U14" i="10"/>
  <c r="U15" i="10"/>
  <c r="U16" i="10"/>
  <c r="N4" i="10"/>
  <c r="U11" i="10"/>
  <c r="U9" i="10"/>
  <c r="L9" i="4"/>
  <c r="M9" i="4"/>
  <c r="T10" i="5"/>
  <c r="T11" i="5"/>
  <c r="T12" i="5"/>
  <c r="T13" i="5"/>
  <c r="T9" i="5"/>
  <c r="T10" i="4"/>
  <c r="T11" i="4"/>
  <c r="T12" i="4"/>
  <c r="T13" i="4"/>
  <c r="T15" i="4"/>
  <c r="T9" i="4"/>
  <c r="BV50" i="5"/>
  <c r="K72" i="9"/>
  <c r="J72" i="9" s="1"/>
  <c r="BV51" i="5"/>
  <c r="BV52" i="1" s="1"/>
  <c r="BV57" i="5"/>
  <c r="AY54" i="4" s="1"/>
  <c r="BV54" i="5"/>
  <c r="BV55" i="1" s="1"/>
  <c r="BV56" i="5"/>
  <c r="BV71" i="3" s="1"/>
  <c r="O22" i="4"/>
  <c r="K150" i="9"/>
  <c r="J150" i="9" s="1"/>
  <c r="O23" i="4"/>
  <c r="K136" i="9"/>
  <c r="J136" i="9" s="1"/>
  <c r="O24" i="4"/>
  <c r="K137" i="9"/>
  <c r="J137" i="9" s="1"/>
  <c r="O25" i="4"/>
  <c r="O26" i="4"/>
  <c r="K143" i="9"/>
  <c r="J143" i="9" s="1"/>
  <c r="R26" i="4" s="1"/>
  <c r="O27" i="4"/>
  <c r="O28" i="4"/>
  <c r="O29" i="4"/>
  <c r="O31" i="4"/>
  <c r="K155" i="9"/>
  <c r="J155" i="9" s="1"/>
  <c r="O32" i="4"/>
  <c r="CA5" i="4"/>
  <c r="E20" i="4" s="1"/>
  <c r="G20" i="4"/>
  <c r="G23" i="4"/>
  <c r="G24" i="4"/>
  <c r="O35" i="4"/>
  <c r="N36" i="4"/>
  <c r="O36" i="4"/>
  <c r="K165" i="9"/>
  <c r="O38" i="4"/>
  <c r="G21" i="4"/>
  <c r="G22" i="4"/>
  <c r="L14" i="1"/>
  <c r="BP14" i="1" s="1"/>
  <c r="BP27" i="1" s="1"/>
  <c r="BP42" i="1" s="1"/>
  <c r="BP57" i="1" s="1"/>
  <c r="CA6" i="1"/>
  <c r="E18" i="1" s="1"/>
  <c r="BY56" i="10"/>
  <c r="BY55" i="10"/>
  <c r="BY53" i="10"/>
  <c r="BY52" i="10"/>
  <c r="O26" i="5"/>
  <c r="O45" i="5" s="1"/>
  <c r="R44" i="5" s="1"/>
  <c r="O28" i="5"/>
  <c r="K148" i="9"/>
  <c r="J148" i="9" s="1"/>
  <c r="O30" i="5"/>
  <c r="K107" i="9"/>
  <c r="J107" i="9" s="1"/>
  <c r="O34" i="5"/>
  <c r="CF6" i="5"/>
  <c r="G28" i="5"/>
  <c r="G29" i="5"/>
  <c r="G30" i="5"/>
  <c r="G31" i="5"/>
  <c r="O36" i="5"/>
  <c r="O37" i="5"/>
  <c r="O38" i="5"/>
  <c r="O41" i="5"/>
  <c r="K114" i="9"/>
  <c r="J114" i="9" s="1"/>
  <c r="O44" i="5"/>
  <c r="K134" i="9"/>
  <c r="J134" i="9" s="1"/>
  <c r="O134" i="9"/>
  <c r="K119" i="9"/>
  <c r="J119" i="9" s="1"/>
  <c r="K120" i="9"/>
  <c r="J120" i="9" s="1"/>
  <c r="O118" i="9"/>
  <c r="O119" i="9"/>
  <c r="O120" i="9"/>
  <c r="K181" i="9"/>
  <c r="J181" i="9" s="1"/>
  <c r="O181" i="9"/>
  <c r="K182" i="9"/>
  <c r="J182" i="9" s="1"/>
  <c r="O182" i="9"/>
  <c r="K183" i="9"/>
  <c r="J183" i="9" s="1"/>
  <c r="O183" i="9"/>
  <c r="K172" i="9"/>
  <c r="J172" i="9" s="1"/>
  <c r="O172" i="9"/>
  <c r="K173" i="9"/>
  <c r="J173" i="9" s="1"/>
  <c r="O173" i="9"/>
  <c r="O33" i="3"/>
  <c r="K166" i="9"/>
  <c r="J166" i="9" s="1"/>
  <c r="O166" i="9"/>
  <c r="K162" i="9"/>
  <c r="J162" i="9" s="1"/>
  <c r="O162" i="9"/>
  <c r="K163" i="9"/>
  <c r="J163" i="9" s="1"/>
  <c r="O163" i="9"/>
  <c r="K164" i="9"/>
  <c r="J164" i="9" s="1"/>
  <c r="O164" i="9"/>
  <c r="K153" i="9"/>
  <c r="J153" i="9" s="1"/>
  <c r="O153" i="9"/>
  <c r="K154" i="9"/>
  <c r="J154" i="9" s="1"/>
  <c r="O154" i="9"/>
  <c r="K144" i="9"/>
  <c r="J144" i="9" s="1"/>
  <c r="O144" i="9"/>
  <c r="K145" i="9"/>
  <c r="J145" i="9" s="1"/>
  <c r="O145" i="9"/>
  <c r="K138" i="9"/>
  <c r="J138" i="9" s="1"/>
  <c r="O138" i="9"/>
  <c r="K139" i="9"/>
  <c r="J139" i="9" s="1"/>
  <c r="O139" i="9"/>
  <c r="K140" i="9"/>
  <c r="J140" i="9" s="1"/>
  <c r="O140" i="9"/>
  <c r="K141" i="9"/>
  <c r="J141" i="9" s="1"/>
  <c r="O141" i="9"/>
  <c r="K142" i="9"/>
  <c r="J142" i="9" s="1"/>
  <c r="O142" i="9"/>
  <c r="K133" i="9"/>
  <c r="J133" i="9" s="1"/>
  <c r="O133" i="9"/>
  <c r="K135" i="9"/>
  <c r="J135" i="9" s="1"/>
  <c r="O135" i="9"/>
  <c r="K125" i="9"/>
  <c r="J125" i="9" s="1"/>
  <c r="O125" i="9"/>
  <c r="K126" i="9"/>
  <c r="J126" i="9" s="1"/>
  <c r="O126" i="9"/>
  <c r="K127" i="9"/>
  <c r="J127" i="9" s="1"/>
  <c r="O127" i="9"/>
  <c r="K122" i="9"/>
  <c r="J122" i="9" s="1"/>
  <c r="O122" i="9"/>
  <c r="K123" i="9"/>
  <c r="J123" i="9" s="1"/>
  <c r="O123" i="9"/>
  <c r="K115" i="9"/>
  <c r="J115" i="9" s="1"/>
  <c r="O115" i="9"/>
  <c r="K116" i="9"/>
  <c r="J116" i="9" s="1"/>
  <c r="O116" i="9"/>
  <c r="K112" i="9"/>
  <c r="J112" i="9" s="1"/>
  <c r="O112" i="9"/>
  <c r="K113" i="9"/>
  <c r="J113" i="9" s="1"/>
  <c r="O113" i="9"/>
  <c r="K108" i="9"/>
  <c r="J108" i="9" s="1"/>
  <c r="O108" i="9"/>
  <c r="K109" i="9"/>
  <c r="J109" i="9" s="1"/>
  <c r="O109" i="9"/>
  <c r="K110" i="9"/>
  <c r="J110" i="9" s="1"/>
  <c r="O110" i="9"/>
  <c r="K105" i="9"/>
  <c r="J105" i="9" s="1"/>
  <c r="O105" i="9"/>
  <c r="K106" i="9"/>
  <c r="J106" i="9" s="1"/>
  <c r="O106" i="9"/>
  <c r="K101" i="9"/>
  <c r="J101" i="9" s="1"/>
  <c r="O101" i="9"/>
  <c r="K102" i="9"/>
  <c r="J102" i="9" s="1"/>
  <c r="O102" i="9"/>
  <c r="K13" i="9"/>
  <c r="J13" i="9" s="1"/>
  <c r="K89" i="9"/>
  <c r="J89" i="9" s="1"/>
  <c r="O89" i="9"/>
  <c r="K90" i="9"/>
  <c r="J90" i="9" s="1"/>
  <c r="O90" i="9"/>
  <c r="K91" i="9"/>
  <c r="J91" i="9" s="1"/>
  <c r="O91" i="9"/>
  <c r="K92" i="9"/>
  <c r="J92" i="9" s="1"/>
  <c r="O92" i="9"/>
  <c r="K93" i="9"/>
  <c r="J93" i="9" s="1"/>
  <c r="O93" i="9"/>
  <c r="K76" i="9"/>
  <c r="J76" i="9" s="1"/>
  <c r="O76" i="9"/>
  <c r="K77" i="9"/>
  <c r="J77" i="9" s="1"/>
  <c r="O77" i="9"/>
  <c r="K78" i="9"/>
  <c r="J78" i="9" s="1"/>
  <c r="O78" i="9"/>
  <c r="K79" i="9"/>
  <c r="J79" i="9" s="1"/>
  <c r="O79" i="9"/>
  <c r="K66" i="9"/>
  <c r="J66" i="9" s="1"/>
  <c r="O66" i="9"/>
  <c r="K67" i="9"/>
  <c r="J67" i="9" s="1"/>
  <c r="O67" i="9"/>
  <c r="K68" i="9"/>
  <c r="J68" i="9" s="1"/>
  <c r="O68" i="9"/>
  <c r="K69" i="9"/>
  <c r="J69" i="9" s="1"/>
  <c r="O69" i="9"/>
  <c r="K54" i="9"/>
  <c r="J54" i="9" s="1"/>
  <c r="O54" i="9"/>
  <c r="K55" i="9"/>
  <c r="J55" i="9" s="1"/>
  <c r="O55" i="9"/>
  <c r="K56" i="9"/>
  <c r="J56" i="9" s="1"/>
  <c r="O56" i="9"/>
  <c r="K57" i="9"/>
  <c r="J57" i="9" s="1"/>
  <c r="O57" i="9"/>
  <c r="O44" i="9"/>
  <c r="K44" i="9"/>
  <c r="J44" i="9" s="1"/>
  <c r="O43" i="9"/>
  <c r="K43" i="9"/>
  <c r="J43" i="9" s="1"/>
  <c r="O42" i="9"/>
  <c r="K42" i="9"/>
  <c r="J42" i="9" s="1"/>
  <c r="O41" i="9"/>
  <c r="K41" i="9"/>
  <c r="J41" i="9" s="1"/>
  <c r="K23" i="9"/>
  <c r="J23" i="9" s="1"/>
  <c r="O23" i="9"/>
  <c r="K24" i="9"/>
  <c r="J24" i="9" s="1"/>
  <c r="O24" i="9"/>
  <c r="K25" i="9"/>
  <c r="J25" i="9" s="1"/>
  <c r="O25" i="9"/>
  <c r="K26" i="9"/>
  <c r="J26" i="9" s="1"/>
  <c r="O26" i="9"/>
  <c r="O10" i="9"/>
  <c r="O11" i="9"/>
  <c r="O12" i="9"/>
  <c r="O13" i="9"/>
  <c r="K10" i="9"/>
  <c r="J10" i="9" s="1"/>
  <c r="K11" i="9"/>
  <c r="J11" i="9" s="1"/>
  <c r="L12" i="3"/>
  <c r="M12" i="3"/>
  <c r="L15" i="4"/>
  <c r="BV52" i="5"/>
  <c r="AY49" i="4" s="1"/>
  <c r="BV53" i="5"/>
  <c r="AY50" i="4" s="1"/>
  <c r="BV55" i="5"/>
  <c r="AY52" i="4" s="1"/>
  <c r="O130" i="9"/>
  <c r="O165" i="9"/>
  <c r="O86" i="9"/>
  <c r="K88" i="9"/>
  <c r="J88" i="9" s="1"/>
  <c r="K87" i="9"/>
  <c r="J87" i="9" s="1"/>
  <c r="O88" i="9"/>
  <c r="O87" i="9"/>
  <c r="O124" i="9"/>
  <c r="O72" i="9"/>
  <c r="O73" i="9"/>
  <c r="K73" i="9"/>
  <c r="J73" i="9" s="1"/>
  <c r="K74" i="9"/>
  <c r="J74" i="9" s="1"/>
  <c r="O74" i="9"/>
  <c r="O52" i="9"/>
  <c r="K52" i="9"/>
  <c r="J52" i="9" s="1"/>
  <c r="O21" i="9"/>
  <c r="K21" i="9"/>
  <c r="J21" i="9" s="1"/>
  <c r="K12" i="9"/>
  <c r="J12" i="9" s="1"/>
  <c r="K8" i="9"/>
  <c r="J8" i="9" s="1"/>
  <c r="O8" i="9"/>
  <c r="O39" i="9"/>
  <c r="K39" i="9"/>
  <c r="J39" i="9" s="1"/>
  <c r="K159" i="9"/>
  <c r="J159" i="9" s="1"/>
  <c r="K160" i="9"/>
  <c r="J160" i="9" s="1"/>
  <c r="K75" i="9"/>
  <c r="J75" i="9" s="1"/>
  <c r="K65" i="9"/>
  <c r="J65" i="9" s="1"/>
  <c r="K64" i="9"/>
  <c r="J64" i="9" s="1"/>
  <c r="K53" i="9"/>
  <c r="J53" i="9" s="1"/>
  <c r="K51" i="9"/>
  <c r="J51" i="9" s="1"/>
  <c r="K40" i="9"/>
  <c r="J40" i="9" s="1"/>
  <c r="K33" i="9"/>
  <c r="J33" i="9" s="1"/>
  <c r="BT10" i="4" s="1" a="1"/>
  <c r="BT10" i="4" s="1"/>
  <c r="K35" i="9"/>
  <c r="J35" i="9" s="1"/>
  <c r="BT15" i="4" s="1" a="1"/>
  <c r="BT15" i="4" s="1"/>
  <c r="K36" i="9"/>
  <c r="J36" i="9" s="1"/>
  <c r="K38" i="9"/>
  <c r="J38" i="9" s="1"/>
  <c r="BT13" i="4" s="1" a="1"/>
  <c r="BT13" i="4" s="1"/>
  <c r="AH13" i="4" s="1"/>
  <c r="K22" i="9"/>
  <c r="J22" i="9" s="1"/>
  <c r="K20" i="9"/>
  <c r="J20" i="9" s="1"/>
  <c r="BT12" i="4" s="1" a="1"/>
  <c r="BT12" i="4" s="1"/>
  <c r="O174" i="9"/>
  <c r="O175" i="9"/>
  <c r="O176" i="9"/>
  <c r="O177" i="9"/>
  <c r="O178" i="9"/>
  <c r="O179" i="9"/>
  <c r="O180" i="9"/>
  <c r="O184" i="9"/>
  <c r="O171" i="9"/>
  <c r="O156" i="9"/>
  <c r="O157" i="9"/>
  <c r="O158" i="9"/>
  <c r="O159" i="9"/>
  <c r="O160" i="9"/>
  <c r="O161" i="9"/>
  <c r="O155" i="9"/>
  <c r="O152" i="9"/>
  <c r="O147" i="9"/>
  <c r="O148" i="9"/>
  <c r="O149" i="9"/>
  <c r="O150" i="9"/>
  <c r="O151" i="9"/>
  <c r="O146" i="9"/>
  <c r="O143" i="9"/>
  <c r="O137" i="9"/>
  <c r="O136" i="9"/>
  <c r="O132" i="9"/>
  <c r="O129" i="9"/>
  <c r="O131" i="9"/>
  <c r="O128" i="9"/>
  <c r="O121" i="9"/>
  <c r="O114" i="9"/>
  <c r="O117" i="9"/>
  <c r="O111" i="9"/>
  <c r="O107" i="9"/>
  <c r="O104" i="9"/>
  <c r="O103" i="9"/>
  <c r="O100" i="9"/>
  <c r="O85" i="9"/>
  <c r="O75" i="9"/>
  <c r="O65" i="9"/>
  <c r="O63" i="9"/>
  <c r="O64" i="9"/>
  <c r="O53" i="9"/>
  <c r="O50" i="9"/>
  <c r="O51" i="9"/>
  <c r="O40" i="9"/>
  <c r="O32" i="9"/>
  <c r="O33" i="9"/>
  <c r="O34" i="9"/>
  <c r="O35" i="9"/>
  <c r="O36" i="9"/>
  <c r="O37" i="9"/>
  <c r="O38" i="9"/>
  <c r="O22" i="9"/>
  <c r="O20" i="9"/>
  <c r="O19" i="9"/>
  <c r="O23" i="3"/>
  <c r="C14" i="1"/>
  <c r="O12" i="1"/>
  <c r="BZ22" i="1"/>
  <c r="BZ21" i="1"/>
  <c r="BZ20" i="1"/>
  <c r="BZ19" i="1"/>
  <c r="C16" i="4"/>
  <c r="BX24" i="4"/>
  <c r="BX23" i="4"/>
  <c r="BX22" i="4"/>
  <c r="BX21" i="4"/>
  <c r="O35" i="3"/>
  <c r="O24" i="3"/>
  <c r="O22" i="3"/>
  <c r="O21" i="3"/>
  <c r="O20" i="3"/>
  <c r="BZ26" i="3"/>
  <c r="BZ25" i="3"/>
  <c r="BZ24" i="3"/>
  <c r="BZ23" i="3"/>
  <c r="C18" i="3"/>
  <c r="G26" i="3"/>
  <c r="G25" i="3"/>
  <c r="G24" i="3"/>
  <c r="G23" i="3"/>
  <c r="G22" i="3"/>
  <c r="J179" i="9"/>
  <c r="CB27" i="5"/>
  <c r="CB28" i="5"/>
  <c r="CB29" i="5"/>
  <c r="CB30" i="5"/>
  <c r="C23" i="5"/>
  <c r="D23" i="5" s="1"/>
  <c r="K7" i="9"/>
  <c r="J7" i="9" s="1"/>
  <c r="O7" i="9"/>
  <c r="O6" i="9"/>
  <c r="O9" i="9"/>
  <c r="K9" i="9"/>
  <c r="J9" i="9" s="1"/>
  <c r="BT11" i="4" l="1" a="1"/>
  <c r="BT11" i="4" s="1"/>
  <c r="N12" i="1"/>
  <c r="BM12" i="1" s="1"/>
  <c r="BL12" i="1" s="1"/>
  <c r="E22" i="3"/>
  <c r="BZ22" i="3" s="1"/>
  <c r="C32" i="3" s="1"/>
  <c r="R21" i="3"/>
  <c r="O31" i="3"/>
  <c r="O32" i="3" s="1"/>
  <c r="AY9" i="3"/>
  <c r="R33" i="3"/>
  <c r="R20" i="3"/>
  <c r="R35" i="3"/>
  <c r="R22" i="3"/>
  <c r="BM14" i="4"/>
  <c r="BM27" i="4" s="1"/>
  <c r="BM40" i="4" s="1"/>
  <c r="BM53" i="4" s="1"/>
  <c r="R22" i="4"/>
  <c r="O10" i="4"/>
  <c r="R10" i="4" s="1"/>
  <c r="BN17" i="10"/>
  <c r="BM17" i="10" s="1"/>
  <c r="BR30" i="10"/>
  <c r="BR46" i="10"/>
  <c r="BN11" i="10"/>
  <c r="BM11" i="10" s="1"/>
  <c r="BT14" i="5" a="1"/>
  <c r="BT14" i="5" s="1"/>
  <c r="H26" i="10"/>
  <c r="H28" i="10"/>
  <c r="H43" i="10"/>
  <c r="BN16" i="10"/>
  <c r="BN33" i="10" s="1"/>
  <c r="BN49" i="10" s="1"/>
  <c r="BN66" i="10" s="1"/>
  <c r="D21" i="10"/>
  <c r="BT10" i="1" a="1"/>
  <c r="BT10" i="1" s="1"/>
  <c r="BW11" i="10" a="1"/>
  <c r="BW11" i="10" s="1"/>
  <c r="BT10" i="5" a="1"/>
  <c r="BT10" i="5" s="1"/>
  <c r="BT12" i="1" a="1"/>
  <c r="BT12" i="1" s="1"/>
  <c r="R12" i="1" s="1"/>
  <c r="BW13" i="10" a="1"/>
  <c r="BW13" i="10" s="1"/>
  <c r="BT11" i="5" a="1"/>
  <c r="BT11" i="5" s="1"/>
  <c r="BT9" i="1" a="1"/>
  <c r="BT9" i="1" s="1"/>
  <c r="BW9" i="10" a="1"/>
  <c r="BW9" i="10" s="1"/>
  <c r="BT9" i="3" a="1"/>
  <c r="BT9" i="3" s="1"/>
  <c r="R9" i="3" s="1"/>
  <c r="BT9" i="5" a="1"/>
  <c r="BT9" i="5" s="1"/>
  <c r="R9" i="5" s="1"/>
  <c r="BT9" i="4" a="1"/>
  <c r="BT9" i="4" s="1"/>
  <c r="BW15" i="10" a="1"/>
  <c r="BW15" i="10" s="1"/>
  <c r="BT10" i="3" a="1"/>
  <c r="BT10" i="3" s="1"/>
  <c r="AH10" i="3" s="1"/>
  <c r="BT13" i="1" a="1"/>
  <c r="BT13" i="1" s="1"/>
  <c r="AH13" i="1" s="1"/>
  <c r="BT13" i="5" a="1"/>
  <c r="BT13" i="5" s="1"/>
  <c r="P31" i="10"/>
  <c r="S31" i="10" s="1"/>
  <c r="P46" i="10"/>
  <c r="S45" i="10" s="1"/>
  <c r="O15" i="10"/>
  <c r="T14" i="1"/>
  <c r="BT14" i="1" a="1"/>
  <c r="BT14" i="1" s="1"/>
  <c r="BM14" i="1"/>
  <c r="BM27" i="1" s="1"/>
  <c r="BM42" i="1" s="1"/>
  <c r="BM57" i="1" s="1"/>
  <c r="F20" i="1"/>
  <c r="F22" i="1"/>
  <c r="AY41" i="1" s="1"/>
  <c r="L10" i="1"/>
  <c r="M10" i="1" s="1"/>
  <c r="N10" i="1" s="1"/>
  <c r="BM10" i="1" s="1"/>
  <c r="BL10" i="1" s="1"/>
  <c r="F19" i="1"/>
  <c r="F21" i="1"/>
  <c r="L13" i="1"/>
  <c r="K11" i="3"/>
  <c r="BT11" i="3" a="1"/>
  <c r="BT11" i="3" s="1"/>
  <c r="BP11" i="3"/>
  <c r="BP21" i="3" s="1"/>
  <c r="BP32" i="3" s="1"/>
  <c r="BP43" i="3" s="1"/>
  <c r="BT14" i="4" a="1"/>
  <c r="BT14" i="4" s="1"/>
  <c r="T14" i="5"/>
  <c r="N11" i="4"/>
  <c r="BM11" i="4" s="1"/>
  <c r="BL11" i="4" s="1"/>
  <c r="AY12" i="3"/>
  <c r="O12" i="3"/>
  <c r="R12" i="3" s="1"/>
  <c r="N14" i="4"/>
  <c r="N14" i="1"/>
  <c r="N12" i="3"/>
  <c r="BO12" i="3" s="1"/>
  <c r="AY16" i="4"/>
  <c r="AY13" i="3"/>
  <c r="O15" i="4"/>
  <c r="R15" i="4" s="1"/>
  <c r="AY14" i="4"/>
  <c r="N11" i="3"/>
  <c r="K14" i="1"/>
  <c r="N15" i="4"/>
  <c r="BO15" i="4" s="1"/>
  <c r="AY15" i="1"/>
  <c r="O34" i="4"/>
  <c r="R34" i="4" s="1"/>
  <c r="O30" i="4"/>
  <c r="R30" i="4" s="1"/>
  <c r="AY14" i="1"/>
  <c r="AY37" i="1"/>
  <c r="O26" i="1"/>
  <c r="R26" i="1" s="1"/>
  <c r="O9" i="1"/>
  <c r="O30" i="1"/>
  <c r="O31" i="1" s="1"/>
  <c r="R31" i="1" s="1"/>
  <c r="AY9" i="1"/>
  <c r="BZ18" i="1"/>
  <c r="C24" i="1" s="1"/>
  <c r="E24" i="1" s="1"/>
  <c r="H22" i="1"/>
  <c r="H18" i="1"/>
  <c r="R23" i="1"/>
  <c r="T11" i="3"/>
  <c r="F24" i="4"/>
  <c r="AY42" i="4" s="1"/>
  <c r="L13" i="4"/>
  <c r="BM13" i="4" s="1"/>
  <c r="BM26" i="4" s="1"/>
  <c r="F22" i="4"/>
  <c r="AY40" i="4" s="1"/>
  <c r="O9" i="4"/>
  <c r="AY38" i="4"/>
  <c r="F23" i="4"/>
  <c r="AY41" i="4" s="1"/>
  <c r="F21" i="4"/>
  <c r="AY15" i="4"/>
  <c r="O11" i="4"/>
  <c r="R11" i="4" s="1"/>
  <c r="H21" i="4"/>
  <c r="R23" i="4"/>
  <c r="N10" i="4"/>
  <c r="BM10" i="4"/>
  <c r="BM23" i="4" s="1"/>
  <c r="AY9" i="4"/>
  <c r="AY39" i="4"/>
  <c r="L12" i="4"/>
  <c r="R31" i="4"/>
  <c r="K14" i="4"/>
  <c r="T14" i="4"/>
  <c r="E40" i="10"/>
  <c r="CE39" i="10" s="1"/>
  <c r="E25" i="10"/>
  <c r="CE24" i="10" s="1"/>
  <c r="C33" i="10" s="1"/>
  <c r="BV56" i="1"/>
  <c r="BV70" i="3"/>
  <c r="BV66" i="3"/>
  <c r="BV65" i="3"/>
  <c r="K14" i="5"/>
  <c r="F22" i="3"/>
  <c r="AY11" i="3"/>
  <c r="F23" i="3"/>
  <c r="R34" i="3"/>
  <c r="F26" i="3"/>
  <c r="F24" i="3"/>
  <c r="F25" i="3"/>
  <c r="L10" i="3"/>
  <c r="O21" i="5"/>
  <c r="G27" i="5"/>
  <c r="O27" i="5"/>
  <c r="R27" i="5" s="1"/>
  <c r="BM10" i="5"/>
  <c r="R24" i="5"/>
  <c r="BM13" i="5"/>
  <c r="BL25" i="1"/>
  <c r="BD12" i="1"/>
  <c r="BM25" i="1"/>
  <c r="BL23" i="1"/>
  <c r="BK9" i="4"/>
  <c r="BX20" i="4"/>
  <c r="H20" i="4"/>
  <c r="AY48" i="4"/>
  <c r="AY47" i="4"/>
  <c r="BV54" i="1"/>
  <c r="BV68" i="3"/>
  <c r="BV67" i="3"/>
  <c r="BV69" i="3"/>
  <c r="BV57" i="1"/>
  <c r="AY53" i="4"/>
  <c r="AY51" i="4"/>
  <c r="F30" i="5"/>
  <c r="H30" i="5" s="1"/>
  <c r="R31" i="5"/>
  <c r="N11" i="5"/>
  <c r="N10" i="5"/>
  <c r="F27" i="5"/>
  <c r="F29" i="5"/>
  <c r="F31" i="5"/>
  <c r="F28" i="5"/>
  <c r="L14" i="5"/>
  <c r="BP14" i="5" s="1"/>
  <c r="BP26" i="5" s="1"/>
  <c r="BP38" i="5" s="1"/>
  <c r="BP49" i="5" s="1"/>
  <c r="R30" i="5"/>
  <c r="AY9" i="5"/>
  <c r="O39" i="5"/>
  <c r="O40" i="5" s="1"/>
  <c r="R40" i="5" s="1"/>
  <c r="O9" i="5"/>
  <c r="E27" i="5"/>
  <c r="H44" i="10"/>
  <c r="BN12" i="10"/>
  <c r="BN29" i="10" s="1"/>
  <c r="BN45" i="10" s="1"/>
  <c r="BN62" i="10" s="1"/>
  <c r="BN30" i="10"/>
  <c r="BN46" i="10" s="1"/>
  <c r="BN63" i="10" s="1"/>
  <c r="BM13" i="10"/>
  <c r="BM30" i="10" s="1"/>
  <c r="P28" i="10"/>
  <c r="S28" i="10" s="1"/>
  <c r="P27" i="10"/>
  <c r="S27" i="10" s="1"/>
  <c r="AZ44" i="10"/>
  <c r="AZ54" i="10"/>
  <c r="AZ15" i="10"/>
  <c r="H27" i="10"/>
  <c r="BN31" i="10"/>
  <c r="BN47" i="10" s="1"/>
  <c r="BN64" i="10" s="1"/>
  <c r="BM14" i="10"/>
  <c r="BM31" i="10" s="1"/>
  <c r="BM47" i="10" s="1"/>
  <c r="BM64" i="10" s="1"/>
  <c r="AZ51" i="10"/>
  <c r="H41" i="10"/>
  <c r="O11" i="10"/>
  <c r="BR11" i="10" s="1"/>
  <c r="F42" i="10"/>
  <c r="P41" i="10"/>
  <c r="P42" i="10" s="1"/>
  <c r="S42" i="10" s="1"/>
  <c r="AZ9" i="10"/>
  <c r="P9" i="10"/>
  <c r="M10" i="10"/>
  <c r="AZ17" i="10"/>
  <c r="BV72" i="3"/>
  <c r="R36" i="4"/>
  <c r="BV51" i="1"/>
  <c r="BV53" i="1"/>
  <c r="BV58" i="1"/>
  <c r="BN18" i="10"/>
  <c r="BN35" i="10" s="1"/>
  <c r="BN51" i="10" s="1"/>
  <c r="BN68" i="10" s="1"/>
  <c r="U18" i="10"/>
  <c r="U17" i="10"/>
  <c r="BQ18" i="10"/>
  <c r="BP18" i="10" s="1"/>
  <c r="BP35" i="10" s="1"/>
  <c r="BP51" i="10" s="1"/>
  <c r="BP68" i="10" s="1"/>
  <c r="BP17" i="10"/>
  <c r="O17" i="10"/>
  <c r="AZ19" i="10"/>
  <c r="AZ20" i="10"/>
  <c r="R24" i="1"/>
  <c r="R25" i="3"/>
  <c r="R25" i="4"/>
  <c r="R24" i="4"/>
  <c r="S43" i="10"/>
  <c r="R41" i="5"/>
  <c r="R28" i="5"/>
  <c r="S32" i="10"/>
  <c r="R25" i="5"/>
  <c r="S29" i="10"/>
  <c r="R38" i="4"/>
  <c r="R24" i="3"/>
  <c r="R29" i="4"/>
  <c r="R26" i="3"/>
  <c r="R25" i="1"/>
  <c r="R32" i="4"/>
  <c r="R34" i="5"/>
  <c r="S34" i="10"/>
  <c r="R32" i="5"/>
  <c r="R43" i="5"/>
  <c r="S25" i="10"/>
  <c r="R27" i="4"/>
  <c r="J165" i="9"/>
  <c r="R31" i="3"/>
  <c r="R29" i="3"/>
  <c r="S39" i="10"/>
  <c r="R28" i="1"/>
  <c r="R37" i="5"/>
  <c r="S26" i="10"/>
  <c r="R23" i="3"/>
  <c r="R28" i="4"/>
  <c r="S30" i="10"/>
  <c r="R26" i="5"/>
  <c r="S33" i="10"/>
  <c r="R29" i="5"/>
  <c r="R32" i="3"/>
  <c r="R37" i="4"/>
  <c r="R38" i="5"/>
  <c r="R29" i="1"/>
  <c r="S40" i="10"/>
  <c r="R35" i="4"/>
  <c r="R30" i="3"/>
  <c r="R36" i="5"/>
  <c r="R27" i="1"/>
  <c r="R28" i="3"/>
  <c r="H29" i="10"/>
  <c r="AZ45" i="10"/>
  <c r="P36" i="10"/>
  <c r="S36" i="10" s="1"/>
  <c r="BN15" i="10"/>
  <c r="AZ43" i="10"/>
  <c r="BD10" i="1" l="1"/>
  <c r="O10" i="1"/>
  <c r="R10" i="1" s="1"/>
  <c r="R9" i="1"/>
  <c r="AH9" i="1" s="1"/>
  <c r="C28" i="3"/>
  <c r="E28" i="3" s="1"/>
  <c r="BE12" i="3"/>
  <c r="H24" i="4"/>
  <c r="AY43" i="4"/>
  <c r="H22" i="4"/>
  <c r="BN28" i="10"/>
  <c r="BN44" i="10" s="1"/>
  <c r="BN61" i="10" s="1"/>
  <c r="BM46" i="10"/>
  <c r="BQ19" i="10"/>
  <c r="BP19" i="10" s="1"/>
  <c r="BF17" i="10"/>
  <c r="BC17" i="10"/>
  <c r="BN34" i="10"/>
  <c r="BN50" i="10" s="1"/>
  <c r="BN67" i="10" s="1"/>
  <c r="BM28" i="10"/>
  <c r="BR63" i="10"/>
  <c r="BM16" i="10"/>
  <c r="BM33" i="10" s="1"/>
  <c r="BM49" i="10" s="1"/>
  <c r="BM66" i="10" s="1"/>
  <c r="BP13" i="10"/>
  <c r="S9" i="10"/>
  <c r="AZ50" i="10"/>
  <c r="BM18" i="10"/>
  <c r="BM35" i="10" s="1"/>
  <c r="BM51" i="10" s="1"/>
  <c r="BM68" i="10" s="1"/>
  <c r="R9" i="4"/>
  <c r="AH9" i="4" s="1"/>
  <c r="BL24" i="4"/>
  <c r="BM24" i="4"/>
  <c r="BL14" i="1"/>
  <c r="BO14" i="1"/>
  <c r="BM23" i="1"/>
  <c r="H19" i="1"/>
  <c r="AY38" i="1"/>
  <c r="AH12" i="1"/>
  <c r="BM13" i="1"/>
  <c r="AY13" i="1"/>
  <c r="AY17" i="1" s="1"/>
  <c r="AY18" i="1" s="1"/>
  <c r="N13" i="1"/>
  <c r="L15" i="1"/>
  <c r="AH10" i="1"/>
  <c r="H21" i="1"/>
  <c r="AY40" i="1"/>
  <c r="H20" i="1"/>
  <c r="AY39" i="1"/>
  <c r="BO11" i="3"/>
  <c r="BK11" i="3" s="1"/>
  <c r="BL11" i="3"/>
  <c r="BJ11" i="3" s="1"/>
  <c r="BO14" i="4"/>
  <c r="BK14" i="4" s="1"/>
  <c r="AF14" i="4" s="1"/>
  <c r="AT14" i="4" s="1"/>
  <c r="BL14" i="4"/>
  <c r="BJ14" i="4" s="1"/>
  <c r="AE14" i="4" s="1"/>
  <c r="AS14" i="4" s="1"/>
  <c r="BE11" i="4"/>
  <c r="AH11" i="4" s="1"/>
  <c r="BO22" i="3"/>
  <c r="BK22" i="3" s="1"/>
  <c r="BP12" i="3"/>
  <c r="BP22" i="3" s="1"/>
  <c r="BP15" i="4"/>
  <c r="BP28" i="4" s="1"/>
  <c r="BE22" i="3"/>
  <c r="R30" i="1"/>
  <c r="R32" i="1" s="1"/>
  <c r="C28" i="1"/>
  <c r="O33" i="4"/>
  <c r="R33" i="4" s="1"/>
  <c r="R39" i="4" s="1"/>
  <c r="N13" i="4"/>
  <c r="BL13" i="4" s="1"/>
  <c r="BF13" i="4" s="1"/>
  <c r="AY13" i="4"/>
  <c r="AY17" i="4" s="1"/>
  <c r="AY18" i="4" s="1"/>
  <c r="H40" i="4" s="1"/>
  <c r="H23" i="4"/>
  <c r="H25" i="4" s="1"/>
  <c r="BO28" i="4"/>
  <c r="BE15" i="4"/>
  <c r="O12" i="4"/>
  <c r="R12" i="4" s="1"/>
  <c r="N12" i="4"/>
  <c r="BL10" i="4"/>
  <c r="H40" i="10"/>
  <c r="C46" i="10"/>
  <c r="D46" i="10" s="1"/>
  <c r="C48" i="10"/>
  <c r="S35" i="10"/>
  <c r="P38" i="10"/>
  <c r="S38" i="10" s="1"/>
  <c r="H22" i="3"/>
  <c r="O27" i="3"/>
  <c r="R27" i="3" s="1"/>
  <c r="R36" i="3" s="1"/>
  <c r="AY28" i="3"/>
  <c r="AY31" i="3"/>
  <c r="H25" i="3"/>
  <c r="AY32" i="3"/>
  <c r="H26" i="3"/>
  <c r="AY10" i="3"/>
  <c r="AY14" i="3" s="1"/>
  <c r="N10" i="3"/>
  <c r="BM10" i="3"/>
  <c r="AY30" i="3"/>
  <c r="H24" i="3"/>
  <c r="AY29" i="3"/>
  <c r="H23" i="3"/>
  <c r="O22" i="5"/>
  <c r="R22" i="5" s="1"/>
  <c r="O23" i="5"/>
  <c r="R23" i="5" s="1"/>
  <c r="R21" i="5"/>
  <c r="AY13" i="5"/>
  <c r="AY35" i="5"/>
  <c r="N13" i="5"/>
  <c r="BL13" i="5" s="1"/>
  <c r="R33" i="5"/>
  <c r="BE24" i="4"/>
  <c r="BD25" i="1"/>
  <c r="BD23" i="1"/>
  <c r="C30" i="4"/>
  <c r="C26" i="4"/>
  <c r="E26" i="4" s="1"/>
  <c r="BL11" i="5"/>
  <c r="R39" i="5"/>
  <c r="H29" i="5"/>
  <c r="AY34" i="5"/>
  <c r="BM25" i="5"/>
  <c r="BM37" i="5" s="1"/>
  <c r="BM48" i="5" s="1"/>
  <c r="BM14" i="5"/>
  <c r="AY14" i="5"/>
  <c r="AY15" i="5"/>
  <c r="N14" i="5"/>
  <c r="BL10" i="5"/>
  <c r="H28" i="5"/>
  <c r="AY33" i="5"/>
  <c r="H31" i="5"/>
  <c r="AY36" i="5"/>
  <c r="BK9" i="5"/>
  <c r="CB26" i="5"/>
  <c r="O35" i="5"/>
  <c r="R35" i="5" s="1"/>
  <c r="H27" i="5"/>
  <c r="AY32" i="5"/>
  <c r="BM12" i="10"/>
  <c r="P37" i="10"/>
  <c r="S37" i="10" s="1"/>
  <c r="H25" i="10"/>
  <c r="H30" i="10" s="1"/>
  <c r="C31" i="10"/>
  <c r="D31" i="10" s="1"/>
  <c r="AZ41" i="10"/>
  <c r="AZ46" i="10" s="1"/>
  <c r="S41" i="10"/>
  <c r="BQ35" i="10"/>
  <c r="BQ51" i="10" s="1"/>
  <c r="BQ68" i="10" s="1"/>
  <c r="BR28" i="10"/>
  <c r="AZ52" i="10"/>
  <c r="H42" i="10"/>
  <c r="P10" i="10"/>
  <c r="S10" i="10" s="1"/>
  <c r="AZ10" i="10"/>
  <c r="AZ22" i="10" s="1"/>
  <c r="BL9" i="10"/>
  <c r="BP34" i="10"/>
  <c r="BQ36" i="10" s="1"/>
  <c r="BP36" i="10" s="1"/>
  <c r="BM34" i="10"/>
  <c r="AH9" i="5"/>
  <c r="BM15" i="10"/>
  <c r="BN32" i="10"/>
  <c r="BN48" i="10" s="1"/>
  <c r="BN65" i="10" s="1"/>
  <c r="BE34" i="10" l="1"/>
  <c r="BB14" i="1"/>
  <c r="BK14" i="1"/>
  <c r="BJ14" i="1"/>
  <c r="AZ14" i="1"/>
  <c r="U14" i="1" s="1"/>
  <c r="AI14" i="1" s="1"/>
  <c r="BK12" i="3"/>
  <c r="BM44" i="10"/>
  <c r="BP30" i="10"/>
  <c r="BK30" i="10" s="1"/>
  <c r="BK13" i="10"/>
  <c r="BM63" i="10"/>
  <c r="BN19" i="10"/>
  <c r="BM19" i="10" s="1"/>
  <c r="BL67" i="10"/>
  <c r="BL34" i="10"/>
  <c r="BL50" i="10"/>
  <c r="BN36" i="10"/>
  <c r="BM36" i="10" s="1"/>
  <c r="BI34" i="10" s="1"/>
  <c r="BH34" i="10"/>
  <c r="BH67" i="10"/>
  <c r="BL17" i="10"/>
  <c r="BH17" i="10"/>
  <c r="BC34" i="10"/>
  <c r="BF34" i="10"/>
  <c r="BL26" i="10"/>
  <c r="AG9" i="10"/>
  <c r="BJ11" i="5"/>
  <c r="BL46" i="5"/>
  <c r="BL35" i="5"/>
  <c r="BL23" i="5"/>
  <c r="BR44" i="10"/>
  <c r="BB34" i="10"/>
  <c r="W17" i="10" s="1"/>
  <c r="AK17" i="10" s="1"/>
  <c r="BD17" i="10"/>
  <c r="Y17" i="10" s="1"/>
  <c r="AM17" i="10" s="1"/>
  <c r="AD17" i="10"/>
  <c r="AR17" i="10" s="1"/>
  <c r="BA17" i="10"/>
  <c r="V17" i="10" s="1"/>
  <c r="AJ17" i="10" s="1"/>
  <c r="BP50" i="10"/>
  <c r="BM50" i="10"/>
  <c r="AI9" i="10"/>
  <c r="AF9" i="5"/>
  <c r="BK33" i="5"/>
  <c r="BK21" i="5"/>
  <c r="BK44" i="5"/>
  <c r="P15" i="10"/>
  <c r="S15" i="10" s="1"/>
  <c r="P17" i="10"/>
  <c r="S17" i="10" s="1"/>
  <c r="BE13" i="10"/>
  <c r="AZ55" i="10"/>
  <c r="H47" i="10" s="1"/>
  <c r="AZ13" i="4"/>
  <c r="O13" i="4"/>
  <c r="R13" i="4" s="1"/>
  <c r="AZ21" i="10"/>
  <c r="H32" i="10" s="1"/>
  <c r="H45" i="10"/>
  <c r="BO27" i="1"/>
  <c r="BG14" i="1"/>
  <c r="BE14" i="1"/>
  <c r="BC14" i="1"/>
  <c r="X14" i="1" s="1"/>
  <c r="AL14" i="1" s="1"/>
  <c r="BI14" i="1"/>
  <c r="AD14" i="1" s="1"/>
  <c r="AR14" i="1" s="1"/>
  <c r="BL27" i="1"/>
  <c r="BF14" i="1"/>
  <c r="AA14" i="1" s="1"/>
  <c r="AO14" i="1" s="1"/>
  <c r="O14" i="1"/>
  <c r="R14" i="1" s="1"/>
  <c r="AY42" i="1"/>
  <c r="H33" i="1" s="1"/>
  <c r="H23" i="1"/>
  <c r="N15" i="1"/>
  <c r="O15" i="1"/>
  <c r="R15" i="1" s="1"/>
  <c r="BL13" i="1"/>
  <c r="BM26" i="1"/>
  <c r="O13" i="1"/>
  <c r="R13" i="1" s="1"/>
  <c r="AZ11" i="3"/>
  <c r="U11" i="3" s="1"/>
  <c r="BL21" i="3"/>
  <c r="BL32" i="3" s="1"/>
  <c r="BC11" i="3"/>
  <c r="BF11" i="3"/>
  <c r="O11" i="3"/>
  <c r="R11" i="3" s="1"/>
  <c r="BI11" i="3"/>
  <c r="BO21" i="3"/>
  <c r="BO32" i="3" s="1"/>
  <c r="BE11" i="3"/>
  <c r="BG11" i="3"/>
  <c r="BB11" i="3"/>
  <c r="W11" i="3" s="1"/>
  <c r="BL27" i="4"/>
  <c r="O14" i="4"/>
  <c r="R14" i="4" s="1"/>
  <c r="BF14" i="4"/>
  <c r="AA14" i="4" s="1"/>
  <c r="AO14" i="4" s="1"/>
  <c r="AZ14" i="4"/>
  <c r="U14" i="4" s="1"/>
  <c r="BI14" i="4"/>
  <c r="AD14" i="4" s="1"/>
  <c r="AR14" i="4" s="1"/>
  <c r="BC14" i="4"/>
  <c r="X14" i="4" s="1"/>
  <c r="AL14" i="4" s="1"/>
  <c r="BO27" i="4"/>
  <c r="BE14" i="4"/>
  <c r="Z14" i="4" s="1"/>
  <c r="AN14" i="4" s="1"/>
  <c r="BG14" i="4"/>
  <c r="AB14" i="4" s="1"/>
  <c r="AP14" i="4" s="1"/>
  <c r="BB14" i="4"/>
  <c r="W14" i="4" s="1"/>
  <c r="AY15" i="3"/>
  <c r="AH15" i="4"/>
  <c r="BC13" i="4"/>
  <c r="BI13" i="4"/>
  <c r="BL26" i="4"/>
  <c r="BD26" i="4" s="1"/>
  <c r="BD10" i="4"/>
  <c r="BL23" i="4"/>
  <c r="BE28" i="4"/>
  <c r="BM12" i="4"/>
  <c r="BM25" i="4" s="1"/>
  <c r="AY17" i="5"/>
  <c r="AY18" i="5" s="1"/>
  <c r="AH9" i="3"/>
  <c r="S46" i="10"/>
  <c r="BL10" i="3"/>
  <c r="BM20" i="3"/>
  <c r="AY33" i="3"/>
  <c r="H27" i="3"/>
  <c r="R45" i="5"/>
  <c r="BD11" i="5"/>
  <c r="O11" i="5"/>
  <c r="R11" i="5" s="1"/>
  <c r="AY37" i="5"/>
  <c r="BC13" i="5"/>
  <c r="X13" i="5" s="1"/>
  <c r="AL13" i="5" s="1"/>
  <c r="BI13" i="5"/>
  <c r="AD13" i="5" s="1"/>
  <c r="AR13" i="5" s="1"/>
  <c r="BF13" i="5"/>
  <c r="AA13" i="5" s="1"/>
  <c r="AO13" i="5" s="1"/>
  <c r="BL25" i="5"/>
  <c r="BL37" i="5" s="1"/>
  <c r="BL48" i="5" s="1"/>
  <c r="AZ13" i="5"/>
  <c r="U13" i="5" s="1"/>
  <c r="BM26" i="5"/>
  <c r="BM38" i="5" s="1"/>
  <c r="BM49" i="5" s="1"/>
  <c r="H32" i="5"/>
  <c r="BD10" i="5"/>
  <c r="BL14" i="5"/>
  <c r="BJ14" i="5" s="1"/>
  <c r="BO14" i="5"/>
  <c r="BK14" i="5" s="1"/>
  <c r="O13" i="5"/>
  <c r="R13" i="5" s="1"/>
  <c r="O10" i="5"/>
  <c r="R10" i="5" s="1"/>
  <c r="C33" i="5"/>
  <c r="D33" i="5" s="1"/>
  <c r="C37" i="5"/>
  <c r="BM29" i="10"/>
  <c r="BM45" i="10" s="1"/>
  <c r="BM62" i="10" s="1"/>
  <c r="BP11" i="10"/>
  <c r="BE11" i="10" s="1"/>
  <c r="BL10" i="10"/>
  <c r="BD15" i="10"/>
  <c r="Y15" i="10" s="1"/>
  <c r="AM15" i="10" s="1"/>
  <c r="BJ15" i="10"/>
  <c r="AE15" i="10" s="1"/>
  <c r="AS15" i="10" s="1"/>
  <c r="BM32" i="10"/>
  <c r="BM48" i="10" s="1"/>
  <c r="BP15" i="10"/>
  <c r="BK15" i="10" s="1"/>
  <c r="BA15" i="10"/>
  <c r="V15" i="10" s="1"/>
  <c r="BG15" i="10"/>
  <c r="AB15" i="10" s="1"/>
  <c r="AP15" i="10" s="1"/>
  <c r="BK67" i="10" l="1"/>
  <c r="BK34" i="10"/>
  <c r="BK50" i="10"/>
  <c r="BK17" i="10"/>
  <c r="BA27" i="4"/>
  <c r="BJ27" i="4"/>
  <c r="BH27" i="4"/>
  <c r="BD27" i="4"/>
  <c r="BB27" i="4"/>
  <c r="BE27" i="4"/>
  <c r="BK27" i="4"/>
  <c r="BG27" i="4"/>
  <c r="X11" i="3"/>
  <c r="AL11" i="3" s="1"/>
  <c r="AD11" i="3"/>
  <c r="AR11" i="3" s="1"/>
  <c r="AB11" i="3"/>
  <c r="AP11" i="3" s="1"/>
  <c r="AA11" i="3"/>
  <c r="AO11" i="3" s="1"/>
  <c r="BO42" i="1"/>
  <c r="BE27" i="1"/>
  <c r="BB27" i="1"/>
  <c r="BK27" i="1"/>
  <c r="BG27" i="1"/>
  <c r="BH27" i="1"/>
  <c r="BL42" i="1"/>
  <c r="BD27" i="1"/>
  <c r="BA27" i="1"/>
  <c r="V14" i="1" s="1"/>
  <c r="AJ14" i="1" s="1"/>
  <c r="BJ27" i="1"/>
  <c r="BE32" i="3"/>
  <c r="Z11" i="3" s="1"/>
  <c r="BK32" i="3"/>
  <c r="AF11" i="3" s="1"/>
  <c r="AT11" i="3" s="1"/>
  <c r="BD32" i="3"/>
  <c r="Y11" i="3" s="1"/>
  <c r="AM11" i="3" s="1"/>
  <c r="BJ32" i="3"/>
  <c r="AE11" i="3" s="1"/>
  <c r="AS11" i="3" s="1"/>
  <c r="AN11" i="3"/>
  <c r="AI11" i="3"/>
  <c r="BO43" i="3"/>
  <c r="AK11" i="3"/>
  <c r="BL43" i="3"/>
  <c r="BE21" i="3"/>
  <c r="BK21" i="3"/>
  <c r="BG21" i="3"/>
  <c r="BB21" i="3"/>
  <c r="O10" i="3"/>
  <c r="R10" i="3" s="1"/>
  <c r="R13" i="3" s="1"/>
  <c r="R38" i="3" s="1"/>
  <c r="BJ10" i="3"/>
  <c r="BA21" i="3"/>
  <c r="BD21" i="3"/>
  <c r="BJ21" i="3"/>
  <c r="BH21" i="3"/>
  <c r="BL40" i="4"/>
  <c r="AI14" i="4"/>
  <c r="BO40" i="4"/>
  <c r="AW15" i="4"/>
  <c r="AK14" i="4"/>
  <c r="BP46" i="10"/>
  <c r="BK46" i="10" s="1"/>
  <c r="BE30" i="10"/>
  <c r="BM61" i="10"/>
  <c r="BE50" i="10"/>
  <c r="BN52" i="10"/>
  <c r="BM52" i="10" s="1"/>
  <c r="BF50" i="10"/>
  <c r="BQ52" i="10"/>
  <c r="BP52" i="10" s="1"/>
  <c r="BG17" i="10"/>
  <c r="AB17" i="10" s="1"/>
  <c r="AP17" i="10" s="1"/>
  <c r="BJ17" i="10"/>
  <c r="AE17" i="10" s="1"/>
  <c r="AS17" i="10" s="1"/>
  <c r="BL42" i="10"/>
  <c r="BL59" i="10" s="1"/>
  <c r="AG10" i="10"/>
  <c r="BL27" i="10"/>
  <c r="BK11" i="10"/>
  <c r="BD46" i="5"/>
  <c r="BD35" i="5"/>
  <c r="BD23" i="5"/>
  <c r="BJ23" i="5"/>
  <c r="BJ46" i="5"/>
  <c r="BJ35" i="5"/>
  <c r="BR61" i="10"/>
  <c r="BE48" i="10"/>
  <c r="BM65" i="10"/>
  <c r="AJ15" i="10"/>
  <c r="BP63" i="10"/>
  <c r="BE63" i="10" s="1"/>
  <c r="Z13" i="10" s="1"/>
  <c r="BE46" i="10"/>
  <c r="BP67" i="10"/>
  <c r="BQ69" i="10" s="1"/>
  <c r="BP69" i="10" s="1"/>
  <c r="BM67" i="10"/>
  <c r="AE13" i="5"/>
  <c r="AS13" i="5" s="1"/>
  <c r="Y13" i="5"/>
  <c r="AM13" i="5" s="1"/>
  <c r="AI13" i="5"/>
  <c r="BH26" i="4"/>
  <c r="BA26" i="4"/>
  <c r="AH10" i="4"/>
  <c r="AH12" i="3"/>
  <c r="R16" i="1"/>
  <c r="R34" i="1" s="1"/>
  <c r="BF13" i="1"/>
  <c r="BC13" i="1"/>
  <c r="BI13" i="1"/>
  <c r="BL26" i="1"/>
  <c r="AZ13" i="1"/>
  <c r="BP15" i="1"/>
  <c r="BP28" i="1" s="1"/>
  <c r="BO15" i="1"/>
  <c r="BR11" i="3"/>
  <c r="R16" i="4"/>
  <c r="R41" i="4" s="1"/>
  <c r="H37" i="3"/>
  <c r="BL12" i="4"/>
  <c r="BL25" i="4" s="1"/>
  <c r="BD23" i="4"/>
  <c r="BF10" i="3"/>
  <c r="BL20" i="3"/>
  <c r="BJ20" i="3" s="1"/>
  <c r="BC10" i="3"/>
  <c r="AZ10" i="3"/>
  <c r="BI10" i="3"/>
  <c r="H46" i="5"/>
  <c r="BO26" i="5"/>
  <c r="BK26" i="5" s="1"/>
  <c r="BG14" i="5"/>
  <c r="AB14" i="5" s="1"/>
  <c r="AP14" i="5" s="1"/>
  <c r="BE14" i="5"/>
  <c r="BB14" i="5"/>
  <c r="BI14" i="5"/>
  <c r="AD14" i="5" s="1"/>
  <c r="AR14" i="5" s="1"/>
  <c r="AZ14" i="5"/>
  <c r="BL26" i="5"/>
  <c r="BJ26" i="5" s="1"/>
  <c r="BC14" i="5"/>
  <c r="X14" i="5" s="1"/>
  <c r="AL14" i="5" s="1"/>
  <c r="BF14" i="5"/>
  <c r="AA14" i="5" s="1"/>
  <c r="AO14" i="5" s="1"/>
  <c r="BA25" i="5"/>
  <c r="BH25" i="5"/>
  <c r="BD25" i="5"/>
  <c r="O14" i="5"/>
  <c r="R14" i="5" s="1"/>
  <c r="BP28" i="10"/>
  <c r="AI10" i="10"/>
  <c r="BE32" i="10"/>
  <c r="BP32" i="10"/>
  <c r="BB32" i="10"/>
  <c r="BI32" i="10"/>
  <c r="BJ40" i="4" l="1"/>
  <c r="BD40" i="4"/>
  <c r="BE40" i="4"/>
  <c r="BK40" i="4"/>
  <c r="AW12" i="3"/>
  <c r="AC14" i="1"/>
  <c r="AQ14" i="1" s="1"/>
  <c r="BD42" i="1"/>
  <c r="BL57" i="1"/>
  <c r="BJ42" i="1"/>
  <c r="BE42" i="1"/>
  <c r="BO57" i="1"/>
  <c r="BK42" i="1"/>
  <c r="BQ11" i="3"/>
  <c r="AV12" i="3"/>
  <c r="AH11" i="3" s="1"/>
  <c r="AH13" i="3" s="1"/>
  <c r="AH15" i="3" s="1"/>
  <c r="BK43" i="3"/>
  <c r="BB43" i="3"/>
  <c r="BG43" i="3"/>
  <c r="BE43" i="3"/>
  <c r="BJ43" i="3"/>
  <c r="BD43" i="3"/>
  <c r="AU11" i="3"/>
  <c r="AG11" i="3" s="1"/>
  <c r="BL53" i="4"/>
  <c r="BO53" i="4"/>
  <c r="AN13" i="10"/>
  <c r="BE28" i="10"/>
  <c r="BK28" i="10"/>
  <c r="BP48" i="10"/>
  <c r="BK48" i="10" s="1"/>
  <c r="BK32" i="10"/>
  <c r="BK63" i="10"/>
  <c r="AF13" i="10" s="1"/>
  <c r="AI13" i="10" s="1"/>
  <c r="BN69" i="10"/>
  <c r="BM69" i="10" s="1"/>
  <c r="BF67" i="10"/>
  <c r="AA17" i="10" s="1"/>
  <c r="AO17" i="10" s="1"/>
  <c r="BC67" i="10"/>
  <c r="BL43" i="10"/>
  <c r="BL60" i="10" s="1"/>
  <c r="BE65" i="10"/>
  <c r="Z15" i="10" s="1"/>
  <c r="AN15" i="10" s="1"/>
  <c r="BP65" i="10"/>
  <c r="BK65" i="10" s="1"/>
  <c r="AF15" i="10" s="1"/>
  <c r="AT15" i="10" s="1"/>
  <c r="BR67" i="10"/>
  <c r="BE67" i="10"/>
  <c r="Z17" i="10" s="1"/>
  <c r="AN17" i="10" s="1"/>
  <c r="BP44" i="10"/>
  <c r="AF17" i="10"/>
  <c r="AT17" i="10" s="1"/>
  <c r="BS67" i="10"/>
  <c r="X17" i="10"/>
  <c r="AC17" i="10"/>
  <c r="AQ17" i="10" s="1"/>
  <c r="AE10" i="5"/>
  <c r="AS10" i="5" s="1"/>
  <c r="AU13" i="5"/>
  <c r="AG13" i="5" s="1"/>
  <c r="Y10" i="5"/>
  <c r="AH13" i="5"/>
  <c r="BO38" i="5"/>
  <c r="BK38" i="5" s="1"/>
  <c r="BB26" i="5"/>
  <c r="BL38" i="5"/>
  <c r="BJ38" i="5" s="1"/>
  <c r="BA26" i="5"/>
  <c r="AE11" i="5"/>
  <c r="AS11" i="5" s="1"/>
  <c r="Y11" i="5"/>
  <c r="AM11" i="5" s="1"/>
  <c r="U14" i="5"/>
  <c r="W14" i="5"/>
  <c r="BO28" i="1"/>
  <c r="BE15" i="1"/>
  <c r="BH26" i="1"/>
  <c r="BA26" i="1"/>
  <c r="BD26" i="1"/>
  <c r="BR21" i="3"/>
  <c r="BR32" i="3" s="1"/>
  <c r="BR43" i="3" s="1"/>
  <c r="BQ21" i="3"/>
  <c r="BD12" i="4"/>
  <c r="BD25" i="4"/>
  <c r="BA20" i="3"/>
  <c r="BH20" i="3"/>
  <c r="BD20" i="3"/>
  <c r="BH26" i="5"/>
  <c r="BD26" i="5"/>
  <c r="BE26" i="5"/>
  <c r="BG26" i="5"/>
  <c r="BG53" i="4" l="1"/>
  <c r="BK53" i="4"/>
  <c r="BE53" i="4"/>
  <c r="BB53" i="4"/>
  <c r="BJ53" i="4"/>
  <c r="BD53" i="4"/>
  <c r="Y14" i="4" s="1"/>
  <c r="AE14" i="1"/>
  <c r="AS14" i="1" s="1"/>
  <c r="BJ57" i="1"/>
  <c r="BD57" i="1"/>
  <c r="Y14" i="1" s="1"/>
  <c r="BB57" i="1"/>
  <c r="W14" i="1" s="1"/>
  <c r="BG57" i="1"/>
  <c r="AB14" i="1" s="1"/>
  <c r="AP14" i="1" s="1"/>
  <c r="BE57" i="1"/>
  <c r="Z14" i="1" s="1"/>
  <c r="AN14" i="1" s="1"/>
  <c r="BK57" i="1"/>
  <c r="AF14" i="1" s="1"/>
  <c r="AT14" i="1" s="1"/>
  <c r="BQ32" i="3"/>
  <c r="BQ43" i="3" s="1"/>
  <c r="AV15" i="10"/>
  <c r="AH15" i="10" s="1"/>
  <c r="BE44" i="10"/>
  <c r="BK44" i="10"/>
  <c r="AI15" i="10"/>
  <c r="AT13" i="10"/>
  <c r="AV13" i="10" s="1"/>
  <c r="AH13" i="10" s="1"/>
  <c r="P13" i="10"/>
  <c r="S13" i="10" s="1"/>
  <c r="AG17" i="10"/>
  <c r="AU17" i="10" s="1"/>
  <c r="BP61" i="10"/>
  <c r="AW18" i="10"/>
  <c r="AL17" i="10"/>
  <c r="AH10" i="5"/>
  <c r="AM10" i="5"/>
  <c r="AU10" i="5" s="1"/>
  <c r="AG10" i="5" s="1"/>
  <c r="AH11" i="5"/>
  <c r="AU11" i="5"/>
  <c r="AG11" i="5" s="1"/>
  <c r="AK14" i="5"/>
  <c r="AI14" i="5"/>
  <c r="BL49" i="5"/>
  <c r="BJ49" i="5" s="1"/>
  <c r="BD38" i="5"/>
  <c r="AE14" i="5"/>
  <c r="AS14" i="5" s="1"/>
  <c r="BO49" i="5"/>
  <c r="BK49" i="5" s="1"/>
  <c r="BE38" i="5"/>
  <c r="Z14" i="5" s="1"/>
  <c r="AN14" i="5" s="1"/>
  <c r="AF14" i="5"/>
  <c r="AT14" i="5" s="1"/>
  <c r="AH12" i="4"/>
  <c r="AH15" i="1"/>
  <c r="BE28" i="1"/>
  <c r="R15" i="5"/>
  <c r="R47" i="5" s="1"/>
  <c r="AM14" i="4" l="1"/>
  <c r="AU14" i="4" s="1"/>
  <c r="AG14" i="4" s="1"/>
  <c r="AV15" i="4"/>
  <c r="AH14" i="4" s="1"/>
  <c r="AH16" i="4" s="1"/>
  <c r="AH18" i="4" s="1"/>
  <c r="AW15" i="1"/>
  <c r="AK14" i="1"/>
  <c r="AM14" i="1"/>
  <c r="AV15" i="1"/>
  <c r="BE61" i="10"/>
  <c r="Z11" i="10" s="1"/>
  <c r="BK61" i="10"/>
  <c r="AF11" i="10" s="1"/>
  <c r="AV17" i="10"/>
  <c r="AH17" i="10" s="1"/>
  <c r="AX18" i="10"/>
  <c r="AI17" i="10" s="1"/>
  <c r="AW15" i="5"/>
  <c r="Y14" i="5"/>
  <c r="BB49" i="5"/>
  <c r="BE49" i="5"/>
  <c r="BG49" i="5"/>
  <c r="BD49" i="5"/>
  <c r="AH14" i="1" l="1"/>
  <c r="AH16" i="1" s="1"/>
  <c r="AH18" i="1" s="1"/>
  <c r="AU14" i="1"/>
  <c r="AG14" i="1" s="1"/>
  <c r="AT11" i="10"/>
  <c r="P11" i="10"/>
  <c r="S11" i="10" s="1"/>
  <c r="S19" i="10" s="1"/>
  <c r="S48" i="10" s="1"/>
  <c r="AN11" i="10"/>
  <c r="AI11" i="10"/>
  <c r="AI19" i="10" s="1"/>
  <c r="AI21" i="10" s="1"/>
  <c r="AM14" i="5"/>
  <c r="AU14" i="5" s="1"/>
  <c r="AG14" i="5" s="1"/>
  <c r="AV15" i="5"/>
  <c r="AH14" i="5" s="1"/>
  <c r="AH15" i="5" s="1"/>
  <c r="AH17" i="5" s="1"/>
  <c r="AV11" i="10" l="1"/>
  <c r="AH11" i="10" s="1"/>
</calcChain>
</file>

<file path=xl/sharedStrings.xml><?xml version="1.0" encoding="utf-8"?>
<sst xmlns="http://schemas.openxmlformats.org/spreadsheetml/2006/main" count="1553" uniqueCount="534">
  <si>
    <t>наименование</t>
  </si>
  <si>
    <t>артикул</t>
  </si>
  <si>
    <t>вертикальный профиль</t>
  </si>
  <si>
    <t>рамка верхняя</t>
  </si>
  <si>
    <t>направляющая верхняя</t>
  </si>
  <si>
    <t>накладка декоративная</t>
  </si>
  <si>
    <t>профиль "П"</t>
  </si>
  <si>
    <t>размер</t>
  </si>
  <si>
    <t>количество</t>
  </si>
  <si>
    <t>деталей</t>
  </si>
  <si>
    <t>ЛДСП, 10 мм</t>
  </si>
  <si>
    <t>ЛДСП, 8 мм</t>
  </si>
  <si>
    <t>Стекло, зеркало 4 мм</t>
  </si>
  <si>
    <t>высота перегородки:</t>
  </si>
  <si>
    <t>ширина перегородки:</t>
  </si>
  <si>
    <t>высота одной двери:</t>
  </si>
  <si>
    <t>ширина одной двери:</t>
  </si>
  <si>
    <t>ручка-рейлинг</t>
  </si>
  <si>
    <t>высота створки двери:</t>
  </si>
  <si>
    <t>ширина створки двери:</t>
  </si>
  <si>
    <t>высота двери:</t>
  </si>
  <si>
    <t>ширина двери:</t>
  </si>
  <si>
    <t>Механизм синхронного открывания</t>
  </si>
  <si>
    <t>кол-во хлыстов</t>
  </si>
  <si>
    <t>стоимость</t>
  </si>
  <si>
    <t>Ваша скидка на профиль ТМ Аристо:</t>
  </si>
  <si>
    <t>Наименование</t>
  </si>
  <si>
    <t>Артикул</t>
  </si>
  <si>
    <t>Цвет</t>
  </si>
  <si>
    <t>Ед. изм.</t>
  </si>
  <si>
    <t>(1 уп. - 8 шт.)</t>
  </si>
  <si>
    <t>шт.</t>
  </si>
  <si>
    <t>(1 уп. - 6 шт.)</t>
  </si>
  <si>
    <t xml:space="preserve">Венге темный </t>
  </si>
  <si>
    <t>Дуб белый</t>
  </si>
  <si>
    <t>(1 уп. - 16 шт.)</t>
  </si>
  <si>
    <t>(1 уп. - 10 шт.)</t>
  </si>
  <si>
    <t>Рамка верхняя</t>
  </si>
  <si>
    <t>Угловой профиль</t>
  </si>
  <si>
    <t>Комплектующие системы "4 в 1"</t>
  </si>
  <si>
    <t>Держатель ручки-рейлинг</t>
  </si>
  <si>
    <t>(1 уп. - 100 шт.)</t>
  </si>
  <si>
    <t>Доводчик для подвесной системы</t>
  </si>
  <si>
    <t>(1 уп. - 25 шт.)</t>
  </si>
  <si>
    <t>Заглушка для ручки-рейлинг</t>
  </si>
  <si>
    <t>(1 уп. - 1000 к-в.)</t>
  </si>
  <si>
    <t>комлпект</t>
  </si>
  <si>
    <t>(1 уп. - 100 к-в.)</t>
  </si>
  <si>
    <t>комплект</t>
  </si>
  <si>
    <t>Серый</t>
  </si>
  <si>
    <t>п.м.</t>
  </si>
  <si>
    <t>(1 уп. - 10 к-в.)</t>
  </si>
  <si>
    <t>Механизм распашной, шкафной</t>
  </si>
  <si>
    <t>(1 уп. - 50 к-в.)</t>
  </si>
  <si>
    <t xml:space="preserve">Ножка регулируемая </t>
  </si>
  <si>
    <t>(1 уп. - 40 к-в.)</t>
  </si>
  <si>
    <t>Ограничитель складной двери</t>
  </si>
  <si>
    <t>коричневый</t>
  </si>
  <si>
    <t xml:space="preserve">Опора верхняя, неподвижная </t>
  </si>
  <si>
    <t>(1 уп. - 150 шт.)</t>
  </si>
  <si>
    <t>Петля</t>
  </si>
  <si>
    <t>Пластина регулировочная для ролика нижнего</t>
  </si>
  <si>
    <t>Пластина регулировочная для шкафного распашного механизма</t>
  </si>
  <si>
    <t>Подвес верхней направляющей</t>
  </si>
  <si>
    <t>Комплектующие. Профили</t>
  </si>
  <si>
    <t>Ролик верхний с креплением NEW</t>
  </si>
  <si>
    <t>Ролик верхний складной системы</t>
  </si>
  <si>
    <t>Ролик нижний с площадкой</t>
  </si>
  <si>
    <t>Ручка врезная для Вертикального профиля "FUSION"</t>
  </si>
  <si>
    <t>Саморез L= 46</t>
  </si>
  <si>
    <t>(1 уп. - 5000 шт.)</t>
  </si>
  <si>
    <t>Стопор распашного механизма</t>
  </si>
  <si>
    <t>(1 уп. 500 к-в.)</t>
  </si>
  <si>
    <t>Стопор для подвесной системы</t>
  </si>
  <si>
    <t>Стопор для складной системы</t>
  </si>
  <si>
    <t>(1 уп. 400 шт.)</t>
  </si>
  <si>
    <t>Уплотнитель полиуретановый</t>
  </si>
  <si>
    <t>(1 уп. - 200 м.)</t>
  </si>
  <si>
    <t>цена 1 кв.м.</t>
  </si>
  <si>
    <t xml:space="preserve">Общая стоимость наполнения:   </t>
  </si>
  <si>
    <t>Заглушка дверная</t>
  </si>
  <si>
    <t>Саморез</t>
  </si>
  <si>
    <t>Уплотнитель П-образный 8 мм</t>
  </si>
  <si>
    <t>(1 уп. - 100 м)</t>
  </si>
  <si>
    <t>Уплотнитель резиновый 4 мм</t>
  </si>
  <si>
    <t>левое</t>
  </si>
  <si>
    <t>правое</t>
  </si>
  <si>
    <t>Опора нижняя, левая</t>
  </si>
  <si>
    <t xml:space="preserve">Опора нижняя, правая </t>
  </si>
  <si>
    <t>с однополозной направляющей</t>
  </si>
  <si>
    <t>с профилем "П" и декоративной накладкой</t>
  </si>
  <si>
    <t>на регулируемых ножках без профиля "П"</t>
  </si>
  <si>
    <t>с профилем "П" без декоративной накладки</t>
  </si>
  <si>
    <t>с профилем "П" и дек. накладкой совместно с подвесной системой</t>
  </si>
  <si>
    <t xml:space="preserve"> </t>
  </si>
  <si>
    <t>однодверная, настенная</t>
  </si>
  <si>
    <t>двухдверная, настенная</t>
  </si>
  <si>
    <t>двухдверная, в проем (шкаф-купе)</t>
  </si>
  <si>
    <t>да</t>
  </si>
  <si>
    <t>нет</t>
  </si>
  <si>
    <t>Распил хлыстов</t>
  </si>
  <si>
    <t>общая длина деталей</t>
  </si>
  <si>
    <t xml:space="preserve">Общая стоимость всей перегородки(с учетом распила):  </t>
  </si>
  <si>
    <t xml:space="preserve">Общая стоимость профилей (с учетом распила):  </t>
  </si>
  <si>
    <t>ВВОД ИСХОДНЫХ ДАННЫХ ДЛЯ РАСЧЁТА</t>
  </si>
  <si>
    <t>РЕЗУЛЬТАТ РАСЧЁТА</t>
  </si>
  <si>
    <t>последовательное открывание (перекрытие проема, откат дверей за проем)</t>
  </si>
  <si>
    <t>Количество вставок:</t>
  </si>
  <si>
    <t>Наполнение</t>
  </si>
  <si>
    <t>Материал</t>
  </si>
  <si>
    <t>Высота</t>
  </si>
  <si>
    <t>Ширина</t>
  </si>
  <si>
    <t>Вставка 1 (считается автоматически)</t>
  </si>
  <si>
    <t>Вставка 2</t>
  </si>
  <si>
    <t>Вставка 3</t>
  </si>
  <si>
    <t>Вставка 4</t>
  </si>
  <si>
    <t>Вставка 5 (низ двери)</t>
  </si>
  <si>
    <t>Не рекомендуем</t>
  </si>
  <si>
    <t>Неверно внесены высоты вставок</t>
  </si>
  <si>
    <t>Верно внесены высоты вставок</t>
  </si>
  <si>
    <t>Ширина проема</t>
  </si>
  <si>
    <t>Высота проема</t>
  </si>
  <si>
    <t>Цвет профиля</t>
  </si>
  <si>
    <t>Вариант установки</t>
  </si>
  <si>
    <t>Количество дверей</t>
  </si>
  <si>
    <t>Ручка врезная</t>
  </si>
  <si>
    <t>Укажите высоту Вставки 5 (низ двери)</t>
  </si>
  <si>
    <t>Кол-во</t>
  </si>
  <si>
    <t>Стоимость</t>
  </si>
  <si>
    <t>Шлегель</t>
  </si>
  <si>
    <t>последовательное открывание (двери в проеме, одна дверь статичная)</t>
  </si>
  <si>
    <t>Размер, м.</t>
  </si>
  <si>
    <t>Черный матовый</t>
  </si>
  <si>
    <t>Белый матовый</t>
  </si>
  <si>
    <t>Накладка декоративная</t>
  </si>
  <si>
    <t>Направляющая верхняя</t>
  </si>
  <si>
    <t>Белый глянец</t>
  </si>
  <si>
    <t xml:space="preserve">Белый </t>
  </si>
  <si>
    <t>4 в 1 Замок для ручки Fusion, для дверей в двух плоскостях</t>
  </si>
  <si>
    <t>(1 уп. - 1 шт.)</t>
  </si>
  <si>
    <t>4 в 1 Замок для ручки Fusion, для дверей в одной плоскости</t>
  </si>
  <si>
    <t xml:space="preserve"> Опора нижняя, левая</t>
  </si>
  <si>
    <t xml:space="preserve"> Опора нижняя, правая </t>
  </si>
  <si>
    <t>(1 уп. 250 шт.)</t>
  </si>
  <si>
    <t>Соединение угловое нижней направляющей</t>
  </si>
  <si>
    <t>Соединение угловое верхней направляющей</t>
  </si>
  <si>
    <t>(1 уп. - 20 шт.)</t>
  </si>
  <si>
    <t>Защелка магнитная, возвратная с подставкой</t>
  </si>
  <si>
    <t>(1 уп. - 400 шт.)</t>
  </si>
  <si>
    <t>Защелка магнитная, невозвратная с подставкой</t>
  </si>
  <si>
    <t>Прищепка для шлегеля  9*5 (нерж.)</t>
  </si>
  <si>
    <t>Уплотнитель ёлочка 4 мм</t>
  </si>
  <si>
    <t>Шлегель КНР, 
150 м.п. в бухте</t>
  </si>
  <si>
    <t>(1 уп. - 1200 м)</t>
  </si>
  <si>
    <t>с декоративной накладкой</t>
  </si>
  <si>
    <t>Матовый хром</t>
  </si>
  <si>
    <t>Профиль П</t>
  </si>
  <si>
    <t>двухдверная, в проем (совместно со стационарными перегородками)</t>
  </si>
  <si>
    <t>Элемент, скрывающий отверстия</t>
  </si>
  <si>
    <t>Ограничитель складной</t>
  </si>
  <si>
    <t>Ролик верхний с креплением</t>
  </si>
  <si>
    <t>Прищепка</t>
  </si>
  <si>
    <t>Регулировочная пластина</t>
  </si>
  <si>
    <t>Замок для дверей в одной плоскости</t>
  </si>
  <si>
    <t>Замок для дверей в двух плоскостях</t>
  </si>
  <si>
    <t>Доводчик</t>
  </si>
  <si>
    <t>Oграничитель складной двери, серый</t>
  </si>
  <si>
    <t>Фиксирующий элемент</t>
  </si>
  <si>
    <t>Защелка магнитная, возвратная</t>
  </si>
  <si>
    <t>Защелка магнитная, невозвратная</t>
  </si>
  <si>
    <t>Регулировочная пластина для нижнего ролика подвесной системы</t>
  </si>
  <si>
    <t>Регулировочная пластина для распашного механизма</t>
  </si>
  <si>
    <t>Длина ручки-рейлинг</t>
  </si>
  <si>
    <t>Открывание двери</t>
  </si>
  <si>
    <t>не рекомендуем, ширина двери должна быть от 600 мм до 1200 мм</t>
  </si>
  <si>
    <t>допустимо</t>
  </si>
  <si>
    <t>невозможно установить, ширина двери должна быть не менее 650 мм</t>
  </si>
  <si>
    <t>Заглушка торцевая вертикального профиля</t>
  </si>
  <si>
    <t>не рекомендуем, высота двери до 3200 мм</t>
  </si>
  <si>
    <t>не рекомендуем, ширина створки двери от 300 мм до 600 мм</t>
  </si>
  <si>
    <t>не рекомендуем, ширина двери должна быть от 200 мм до 700 мм</t>
  </si>
  <si>
    <t>ФУРНИТУРА ДЛЯ ВСЕЙ ПЕРЕГОРОДКИ:</t>
  </si>
  <si>
    <t>ПРОФИЛИ ДЛЯ ВСЕЙ ПЕРЕГОРОДКИ:</t>
  </si>
  <si>
    <t>трехдверная, в проем (шкаф-купе)</t>
  </si>
  <si>
    <t>Цена:</t>
  </si>
  <si>
    <t>с НДС</t>
  </si>
  <si>
    <t>без НДС</t>
  </si>
  <si>
    <t>Цена, руб/шт.</t>
  </si>
  <si>
    <t>Цена, руб/шт. с учетом скидки</t>
  </si>
  <si>
    <t>четырехдверная в проем (две синхро, две статичные)</t>
  </si>
  <si>
    <t>FA0413.VP540</t>
  </si>
  <si>
    <t>FA0410.VP500</t>
  </si>
  <si>
    <t>FA0682.VP508</t>
  </si>
  <si>
    <t>AS0460.VP540</t>
  </si>
  <si>
    <t>FX0010.VS000</t>
  </si>
  <si>
    <t>AA0075.VP000</t>
  </si>
  <si>
    <t>AA0084.VM100</t>
  </si>
  <si>
    <t>AS0053.VP000</t>
  </si>
  <si>
    <t>FF0002.VP000</t>
  </si>
  <si>
    <t>AA0104.VM100</t>
  </si>
  <si>
    <t>AA0956.VM150</t>
  </si>
  <si>
    <t>AA0040.VP000.IN0EP.CO</t>
  </si>
  <si>
    <t>FA0418.VP540</t>
  </si>
  <si>
    <t>FP0010.VS000</t>
  </si>
  <si>
    <t>FP0020.VP000</t>
  </si>
  <si>
    <t>AS0501.VS000</t>
  </si>
  <si>
    <t>AS0502.VS000</t>
  </si>
  <si>
    <t>FA0003.VP000</t>
  </si>
  <si>
    <t>FA0004.VR000</t>
  </si>
  <si>
    <t>FP0080.VR000</t>
  </si>
  <si>
    <t>FP0011.VP000</t>
  </si>
  <si>
    <t>FF0001.VP000</t>
  </si>
  <si>
    <t>FF0003.BP000</t>
  </si>
  <si>
    <t>FF0007.VP000</t>
  </si>
  <si>
    <t>FF0009.VP000</t>
  </si>
  <si>
    <t>FF0005.VP000</t>
  </si>
  <si>
    <t>FA0646.VP000</t>
  </si>
  <si>
    <t>AS0107.VP540</t>
  </si>
  <si>
    <t>FH0043.VP000</t>
  </si>
  <si>
    <t>Уголок заглушки направляющей</t>
  </si>
  <si>
    <t>Уголок заглушки направляющей 4ПДВ</t>
  </si>
  <si>
    <t>FH0010.CR000</t>
  </si>
  <si>
    <t>FH0030.VS000</t>
  </si>
  <si>
    <t>FH0050.BR000</t>
  </si>
  <si>
    <t>FH0020.VP000</t>
  </si>
  <si>
    <t>FH0090.BS000</t>
  </si>
  <si>
    <t>FH0070.VP000</t>
  </si>
  <si>
    <t>FH0171.VP000</t>
  </si>
  <si>
    <t>Саморез 6×30</t>
  </si>
  <si>
    <t>Саморез 6×40</t>
  </si>
  <si>
    <t>FH0031.VP000</t>
  </si>
  <si>
    <t>FH0101.VP000</t>
  </si>
  <si>
    <t>FH0102.VP000</t>
  </si>
  <si>
    <t>FF0004.VP000</t>
  </si>
  <si>
    <t>Серебро матовое</t>
  </si>
  <si>
    <t>Слоновая кость</t>
  </si>
  <si>
    <t xml:space="preserve"> медь античная*</t>
  </si>
  <si>
    <t>Механизм поворотный регулируемый 4В1</t>
  </si>
  <si>
    <t>Механизм поворотный регулируемый</t>
  </si>
  <si>
    <t>Механизм распашной</t>
  </si>
  <si>
    <t>Механизм регулируемый</t>
  </si>
  <si>
    <t>Выберите механизм</t>
  </si>
  <si>
    <t>FP0000.VS000</t>
  </si>
  <si>
    <t>Выберите тип средней рамки</t>
  </si>
  <si>
    <t>AS0640.VP540</t>
  </si>
  <si>
    <t>Рамка средняя Стандарт</t>
  </si>
  <si>
    <t>Рамка средняя 4в1</t>
  </si>
  <si>
    <t>AA0996.VM100</t>
  </si>
  <si>
    <t>Шлегель, 9х9</t>
  </si>
  <si>
    <t>(1 уп. - 100 м.)</t>
  </si>
  <si>
    <t>FH0023.VS000</t>
  </si>
  <si>
    <t>Механизм для мультипоследовательного синхр. открывания 4ПДВ</t>
  </si>
  <si>
    <t>Механизм для мультипоследовательного синхр. открывания</t>
  </si>
  <si>
    <t>Фиксаторы мультипоследовательной синхр. открывания</t>
  </si>
  <si>
    <t>FH0024.VS000</t>
  </si>
  <si>
    <t>Фиксаторы мультипоследовательной синхр. открывания 4ПДВ</t>
  </si>
  <si>
    <t>Механизм послед. открывания 4ПДВ, левый/правый</t>
  </si>
  <si>
    <t>Механизм послед. открывания, левый/правый</t>
  </si>
  <si>
    <t>FH0060.VR000</t>
  </si>
  <si>
    <t>FA0715.VP500</t>
  </si>
  <si>
    <t>FA0716.VP500</t>
  </si>
  <si>
    <t>AV0078.VM100</t>
  </si>
  <si>
    <t>AA0078.VM100</t>
  </si>
  <si>
    <t>Длина хлыста 4в1</t>
  </si>
  <si>
    <t>Декоративка 4в1</t>
  </si>
  <si>
    <t>Длина хлыста стандарт</t>
  </si>
  <si>
    <t>Цена 4в1</t>
  </si>
  <si>
    <t>Цена стандарт</t>
  </si>
  <si>
    <t>Вес двери:</t>
  </si>
  <si>
    <t>Количество дверей для последовательного открывания</t>
  </si>
  <si>
    <t>РАЗМЕРЫ ДВЕРИ:</t>
  </si>
  <si>
    <t>вес наполнения</t>
  </si>
  <si>
    <t>вес алюминия</t>
  </si>
  <si>
    <t>Комплектующие системы Стандарт</t>
  </si>
  <si>
    <t>кол-во деталей</t>
  </si>
  <si>
    <t>FA0682.VP508.SLMAN.CJ</t>
  </si>
  <si>
    <t>FA0410.VP500.SLMAN.CJ</t>
  </si>
  <si>
    <t>FA0413.VP540.SLMAN.CJ</t>
  </si>
  <si>
    <t>FA0418.VP540.SLMAN.CJ</t>
  </si>
  <si>
    <t>FA0427.AP540.SLMAN.CJ</t>
  </si>
  <si>
    <t>FA0715.VP500.SLMAN.CJ</t>
  </si>
  <si>
    <t>FA0716.VP500.SLMAN.CJ</t>
  </si>
  <si>
    <t>FA0682.VP508.WHKPP.RA</t>
  </si>
  <si>
    <t>FA0413.VP540.WHKPP.RA</t>
  </si>
  <si>
    <t>FA0418.VP540.WHMPC.CJ</t>
  </si>
  <si>
    <t>FA0427.AP540.WHKPP.RA</t>
  </si>
  <si>
    <t>FA0716.VP500.WHKPP.RA</t>
  </si>
  <si>
    <t>FA0682.VP508.WDRPV.RA</t>
  </si>
  <si>
    <t>FA0413.VP540.WDRPV.RA</t>
  </si>
  <si>
    <t>FA0427.AP540.WDRPV.RA</t>
  </si>
  <si>
    <t>FA0715.VP500.WDRPV.RA</t>
  </si>
  <si>
    <t>FA0716.VP500.WDRPV.RA</t>
  </si>
  <si>
    <t>FA0682.VP508.OWDPV.RA</t>
  </si>
  <si>
    <t>FA0413.VP540.OWDPV.RA</t>
  </si>
  <si>
    <t>FA0427.AP540.OWDPV.RA</t>
  </si>
  <si>
    <t>FA0715.VP500.OWDPV.RA</t>
  </si>
  <si>
    <t>FA0716.VP500.OWDPV.RA</t>
  </si>
  <si>
    <t>FA0682.VP508.IVMPP.RA</t>
  </si>
  <si>
    <t>FA0413.VP540.IVMPP.RA</t>
  </si>
  <si>
    <t>FA0715.VP500.IVMPP.RA</t>
  </si>
  <si>
    <t>FA0716.VP500.IVMPP.RA</t>
  </si>
  <si>
    <t>FA0592.VP508.MRAPV.RA</t>
  </si>
  <si>
    <t>FA0413.VP540.MRAPV.RA</t>
  </si>
  <si>
    <t>FA0427.AP540.MRAPV.RA</t>
  </si>
  <si>
    <t>FA0682.VP508.MCAPV.RA</t>
  </si>
  <si>
    <t>FA0413.VP540.MCAPV.RA</t>
  </si>
  <si>
    <t>FA0427.AP540.MCAPV.RA</t>
  </si>
  <si>
    <t>FA0715.VP500.MCAPV.RA</t>
  </si>
  <si>
    <t>FA0716.VP500.MCAPV.RA</t>
  </si>
  <si>
    <t>FA0682.VP508.BKSPC.CJ</t>
  </si>
  <si>
    <t>FA0413.VP540.BKSPC.CJ</t>
  </si>
  <si>
    <t>FA0418.VP540.BKSPC.CJ</t>
  </si>
  <si>
    <t>FA0427.AP540.BKSPC.CJ</t>
  </si>
  <si>
    <t>FA0715.VP500.BKSPC.CJ</t>
  </si>
  <si>
    <t>FA0716.VP500.BKSPC.CJ</t>
  </si>
  <si>
    <t>AS0640.VP540.CHMAN.CJ</t>
  </si>
  <si>
    <t>AS0460.VP540.CHMAN.CJ</t>
  </si>
  <si>
    <t>AS0714.VP540.CHMAN.CJ</t>
  </si>
  <si>
    <t>AS0640.VP540.BKSPC.CJ</t>
  </si>
  <si>
    <t>AS0714.VP540.BKSPC.CJ</t>
  </si>
  <si>
    <t>AS0107.VP540.MRAPV.RA</t>
  </si>
  <si>
    <t>AS0640.VP540.MRAPV.RA</t>
  </si>
  <si>
    <t>AS0107.VP540.WHKPP.RA</t>
  </si>
  <si>
    <t>AS0640.VP540.WHKPP.RA</t>
  </si>
  <si>
    <t>AS0107.VP540.WDRPV.RA</t>
  </si>
  <si>
    <t>AS0640.VP540.WDRPV.RA</t>
  </si>
  <si>
    <t>AS0107.VP540.MCAPV.RA</t>
  </si>
  <si>
    <t>AS0640.VP540.MCAPV.RA</t>
  </si>
  <si>
    <t>AS0107.VP540.OWDPV.RA</t>
  </si>
  <si>
    <t>AS0640.VP540.OWDPV.RA</t>
  </si>
  <si>
    <t>AS0107.VP540.IVMPP.CJ</t>
  </si>
  <si>
    <t>AS0640.VP540.IVMPP.RA</t>
  </si>
  <si>
    <t>Ручка-рейлинг</t>
  </si>
  <si>
    <t>Направляющая верхняя однополозная</t>
  </si>
  <si>
    <t>Черный</t>
  </si>
  <si>
    <t>Белый</t>
  </si>
  <si>
    <t>Коричневый</t>
  </si>
  <si>
    <t>бронза</t>
  </si>
  <si>
    <t>белый</t>
  </si>
  <si>
    <t xml:space="preserve"> Серый</t>
  </si>
  <si>
    <t>прозрачный</t>
  </si>
  <si>
    <t>черный</t>
  </si>
  <si>
    <t>Бронза</t>
  </si>
  <si>
    <t>FA0003.VP000.SLMPC.CO</t>
  </si>
  <si>
    <t>FH0171.VP000.BK000.CM</t>
  </si>
  <si>
    <t>FA0004.VR000.SLM00.CO</t>
  </si>
  <si>
    <t>FP0080.VR000.SLMPC.CO</t>
  </si>
  <si>
    <t>FH0102.VP000.SLMPC.CW</t>
  </si>
  <si>
    <t>FH0102.VP000.WHMPC.CW</t>
  </si>
  <si>
    <t>FH0102.VP000.BZMPC.CW</t>
  </si>
  <si>
    <t>FH0101.VP000.WHMPC.CW</t>
  </si>
  <si>
    <t>FH0101.VP000.SLMPC.CW</t>
  </si>
  <si>
    <t>FH0101.VP000.BZMPC.CW</t>
  </si>
  <si>
    <t>FP0000.VS000.WH0PC.CR</t>
  </si>
  <si>
    <t>FP0000.VS000.BR0PC.CR</t>
  </si>
  <si>
    <t>FP0000.VS000.SLMPC.CR</t>
  </si>
  <si>
    <t>FP0000.VS000.BK0PC.CR</t>
  </si>
  <si>
    <t>FH0060.VR000.ZN0EP.CO</t>
  </si>
  <si>
    <t>FP0010.VS000.SLMPC.CO</t>
  </si>
  <si>
    <t>FH0090.BS000.ZN0EP.CS</t>
  </si>
  <si>
    <t>FX0010.VS000.SLMPC.CO</t>
  </si>
  <si>
    <t>FF0002.VP000.BR000.CY</t>
  </si>
  <si>
    <t>FF0002.VP000.GR000.CY</t>
  </si>
  <si>
    <t>FF0003.BP000.SLMPC.CO</t>
  </si>
  <si>
    <t>FF0009.VP000.SLMPC.CO</t>
  </si>
  <si>
    <t>FF0007.VP000.SLMPC.CO</t>
  </si>
  <si>
    <t>FF0005.VP000.SLMPC.CO</t>
  </si>
  <si>
    <t>FH0031.VP000.ZN0EP.CO</t>
  </si>
  <si>
    <t>FP0011.VP000.ZN0EP.CO</t>
  </si>
  <si>
    <t>FH0020.VP000.SLMAN.CO</t>
  </si>
  <si>
    <t>FF0001.VP000.SLMPC.CO</t>
  </si>
  <si>
    <t>FH0030.VS000.ZN0EP.CO</t>
  </si>
  <si>
    <t>FH0010.CR000.CMGEP.CR</t>
  </si>
  <si>
    <t>FH0070.VP000.SLMAN.CO</t>
  </si>
  <si>
    <t>FA0646.AP000.ZN0EP.CY</t>
  </si>
  <si>
    <t>AA0010.VR000.ZN0EP.CY</t>
  </si>
  <si>
    <t>AA0011.VR000.ZN0EP.CY</t>
  </si>
  <si>
    <t>FP0020.VP000.SLM00.CO</t>
  </si>
  <si>
    <t>FF0004.VP000.ZN0EP.CO</t>
  </si>
  <si>
    <t>FH0050.BR000.ZN0EP.CO</t>
  </si>
  <si>
    <t>FH0043.VP000.BRMPC.CR</t>
  </si>
  <si>
    <t>FH0043.VP000.SLMPC.CR</t>
  </si>
  <si>
    <t>AA0104.VM100.BR000.CL</t>
  </si>
  <si>
    <t>AA0104.VM100.GR000.CL</t>
  </si>
  <si>
    <t>AA0996.VM100.WH000.CL</t>
  </si>
  <si>
    <t>AA0996.VM100.GR000.CL</t>
  </si>
  <si>
    <t>FH0024.VS000.ZN0EP.CS</t>
  </si>
  <si>
    <t>FH0023.VS000.ZN0EP.CS</t>
  </si>
  <si>
    <t>FA0003.VP000.WHMPC.CO</t>
  </si>
  <si>
    <t>FA0004.VR000.WHM00.CO</t>
  </si>
  <si>
    <t>FP0010.VS000.WHMPC.CO</t>
  </si>
  <si>
    <t>FF0002.VP000.WH000.CY</t>
  </si>
  <si>
    <t>FF0009.VP000.WHMPC.CO</t>
  </si>
  <si>
    <t>FF0007.VP000.WHMPC.CO</t>
  </si>
  <si>
    <t>FF0005.VP000.WHMPC.CO</t>
  </si>
  <si>
    <t>FH0070.VP000.WHMPC.CO</t>
  </si>
  <si>
    <t>FH0043.VP000.WHMPC.CR</t>
  </si>
  <si>
    <t>AA0104.VM100.WH000.CL</t>
  </si>
  <si>
    <t>FA0003.VP000.BKSPC.CO</t>
  </si>
  <si>
    <t>FA0004.VR000.BKM00.CO</t>
  </si>
  <si>
    <t>FP0010.VS000.BKSPC.CO</t>
  </si>
  <si>
    <t>FP0080.VR000.WHMPC.CO</t>
  </si>
  <si>
    <t>FP0080.VR000.BKSPC.CO</t>
  </si>
  <si>
    <t>FF0002.VP000.BK000.CY</t>
  </si>
  <si>
    <t>FF0009.VP000.BKSPC.CO</t>
  </si>
  <si>
    <t>FF0007.VP000.BKSPC.CO</t>
  </si>
  <si>
    <t>FF0005.VP000.BKSPC.CO</t>
  </si>
  <si>
    <t>FH0070.VP000.BKSPC.CO</t>
  </si>
  <si>
    <t>FH0043.VP000.BKSPC.CR</t>
  </si>
  <si>
    <t>AA0104.VM100.BK000.CL</t>
  </si>
  <si>
    <t>AS0502.VS000.BK000.CY</t>
  </si>
  <si>
    <t>AS0501.VS000.BK000.CY</t>
  </si>
  <si>
    <t>AS0053.VP000.SLM00.CY</t>
  </si>
  <si>
    <t>AS0053.VP000.BZM00.CY</t>
  </si>
  <si>
    <t>AS0053.VP000.BKM00.CY</t>
  </si>
  <si>
    <t>AV0078.VM100.TR0EV.CB</t>
  </si>
  <si>
    <t>AA0084.VM100.TR000.RK</t>
  </si>
  <si>
    <t>AA0084.VM100.BK000.RK</t>
  </si>
  <si>
    <t>AA0075.VP000.ZN0EP.CO</t>
  </si>
  <si>
    <t>AA0956.VM150.GR000.CL</t>
  </si>
  <si>
    <t>AA0956.VM150.BR000.CL</t>
  </si>
  <si>
    <t>AA0956.VM150.WH000.CL</t>
  </si>
  <si>
    <t>AA0956.VM150.BK000.CL</t>
  </si>
  <si>
    <t>FA0410.VP500.BKMAN.CJ</t>
  </si>
  <si>
    <t>Выберите представительство:</t>
  </si>
  <si>
    <t>Краснодар</t>
  </si>
  <si>
    <t>Новоссибирск</t>
  </si>
  <si>
    <t>Нижний Новгород</t>
  </si>
  <si>
    <t>Екатеринбург</t>
  </si>
  <si>
    <t>Уфа</t>
  </si>
  <si>
    <t>Санкт-Петербург</t>
  </si>
  <si>
    <t>Новосиб, нижний, питер, уфа, екат</t>
  </si>
  <si>
    <t>Стоимость перегородки:</t>
  </si>
  <si>
    <t>Ширина проема А</t>
  </si>
  <si>
    <t>Ширина проема Б</t>
  </si>
  <si>
    <t>высота двери А:</t>
  </si>
  <si>
    <t>ширина двери А:</t>
  </si>
  <si>
    <t>высота двери Б:</t>
  </si>
  <si>
    <t>ширина двери Б:</t>
  </si>
  <si>
    <t>Количество дверей в проеме А</t>
  </si>
  <si>
    <t>Количество дверей в проеме Б</t>
  </si>
  <si>
    <t>направляющая верхняя А</t>
  </si>
  <si>
    <t>направляющая верхняя Б</t>
  </si>
  <si>
    <t>накладка декоративная А</t>
  </si>
  <si>
    <t>накладка декоративная Б</t>
  </si>
  <si>
    <t>рамка верхняя А</t>
  </si>
  <si>
    <t>рамка верхняя Б</t>
  </si>
  <si>
    <t>&lt;5000</t>
  </si>
  <si>
    <t>проверка</t>
  </si>
  <si>
    <t>Количество средних рамок для одной двери</t>
  </si>
  <si>
    <t>стандарт</t>
  </si>
  <si>
    <t>дверь А</t>
  </si>
  <si>
    <t>Дверь Б</t>
  </si>
  <si>
    <t>вес наполнения А</t>
  </si>
  <si>
    <t>Дверь А</t>
  </si>
  <si>
    <t>угловой профиль</t>
  </si>
  <si>
    <t>FA0427.AP540</t>
  </si>
  <si>
    <t>вес наполнения Б</t>
  </si>
  <si>
    <t>рамка средняя Стандарт</t>
  </si>
  <si>
    <t>рамка средняя 4в1</t>
  </si>
  <si>
    <t>Стоимость без распила хлыстов</t>
  </si>
  <si>
    <t>Стоимость с распилом хлыстов</t>
  </si>
  <si>
    <t>Без стоимости</t>
  </si>
  <si>
    <t>* ширина проема А и Б и количество дверей должны быть одинаковыми</t>
  </si>
  <si>
    <t>Механизм синхронного открывания *</t>
  </si>
  <si>
    <t xml:space="preserve"> Декоративная накладка для механизма мультипоследовательного синхр. открывания 4ПДВ</t>
  </si>
  <si>
    <t>FH0014.VP000.WH000.CY</t>
  </si>
  <si>
    <t>FH0014.VP000.MG000.CY</t>
  </si>
  <si>
    <t>FH0014.VP000.BK000.CY</t>
  </si>
  <si>
    <t>Металлик</t>
  </si>
  <si>
    <t xml:space="preserve"> Декоративная накладка для мех. мультипоследовательного синхр. открывания</t>
  </si>
  <si>
    <t>FH0014.VP000</t>
  </si>
  <si>
    <t>Высота проема*</t>
  </si>
  <si>
    <t>* Для варианта установки двухдверной перед проемом с креплением в потолок, укажите высоту помещения</t>
  </si>
  <si>
    <t>двухдверная перед проемом, крепление в потолок</t>
  </si>
  <si>
    <t>Общее количество накладных ручек</t>
  </si>
  <si>
    <t>Накладная ручка</t>
  </si>
  <si>
    <t>АА0037.VP000</t>
  </si>
  <si>
    <t>антрацит</t>
  </si>
  <si>
    <t>жемчуг розовый*</t>
  </si>
  <si>
    <t>жемчуг серый*</t>
  </si>
  <si>
    <t>золото матовое</t>
  </si>
  <si>
    <t>кварц бронзовый*</t>
  </si>
  <si>
    <t>сталь воронёная</t>
  </si>
  <si>
    <t>FA0715.VP500.MRAPV.RA</t>
  </si>
  <si>
    <t>FA0716.VP500.MRAPV.RA</t>
  </si>
  <si>
    <t>FA0682.VP508.ANKPV.RA</t>
  </si>
  <si>
    <t>FA0413.VP540.ANKPV.RA</t>
  </si>
  <si>
    <t>FA0427.AP540.ANKPP.RA</t>
  </si>
  <si>
    <t>FA0715.VP500.ANKPV.RA</t>
  </si>
  <si>
    <t>FA0716.VP500.ANKPV.RA</t>
  </si>
  <si>
    <t>FA0715.VP500.WHKPP.RA</t>
  </si>
  <si>
    <t>FA0682.VP508.PRQPV.RA</t>
  </si>
  <si>
    <t>FA0413.VP540.PRQPV.RA</t>
  </si>
  <si>
    <t>FA0715.VP500.PRQPV.RA</t>
  </si>
  <si>
    <t>FA0716.VP500.PRQPV.RA</t>
  </si>
  <si>
    <t>FA0682.VP508.PGQPV.RA</t>
  </si>
  <si>
    <t>FA0413.VP540.PGQPV.RA</t>
  </si>
  <si>
    <t>FA0715.VP500.PGQPV.RA</t>
  </si>
  <si>
    <t>FA0716.VP500.PGQPV.RA</t>
  </si>
  <si>
    <t>FA0682.VP508.JPAPV.RA</t>
  </si>
  <si>
    <t>FA0413.VP540.JPAPV.RA</t>
  </si>
  <si>
    <t>FA0427.AP540.JPAPV.RA</t>
  </si>
  <si>
    <t>FA0715.VP500.JPAPV.RA</t>
  </si>
  <si>
    <t>FA0412.VP500.JPAPV.RA</t>
  </si>
  <si>
    <t>FA0682.VP508.GLMPV.RA</t>
  </si>
  <si>
    <t>FA0413.VP540.GLMPV.RA</t>
  </si>
  <si>
    <t>FA0715.VP500.GLMPV.RA</t>
  </si>
  <si>
    <t>FA0716.VP500.GLMPV.RA</t>
  </si>
  <si>
    <t>AS0107.VP540.ANKPP.RA</t>
  </si>
  <si>
    <t>AS0640.VP540.ANKPP.RA</t>
  </si>
  <si>
    <t>AS0107.VP540.JPAPV.RA</t>
  </si>
  <si>
    <t>AS0640.VP540.JPAPV.RA</t>
  </si>
  <si>
    <t>AS0107.VP540.PRQPV.RA</t>
  </si>
  <si>
    <t>AS0640.VP540.PRQPV.RA</t>
  </si>
  <si>
    <t>AS0107.VP540.PGQPV.RA</t>
  </si>
  <si>
    <t>AS0640.VP540.PGQPV.RA</t>
  </si>
  <si>
    <t>AS0714.VP540.GLMAN.CJ</t>
  </si>
  <si>
    <t>AS0640.VP540.GLMAN.CJ</t>
  </si>
  <si>
    <t>направляющая верхняя однополозная</t>
  </si>
  <si>
    <t>Вертикальный профиль</t>
  </si>
  <si>
    <t>Фото</t>
  </si>
  <si>
    <t xml:space="preserve">  - рамка стандарт</t>
  </si>
  <si>
    <t xml:space="preserve">  - рамка 4в1</t>
  </si>
  <si>
    <t>Митино</t>
  </si>
  <si>
    <t>Реутов</t>
  </si>
  <si>
    <t>4 в 1</t>
  </si>
  <si>
    <t>Москва (Митино)</t>
  </si>
  <si>
    <t xml:space="preserve">Общая стоимость всей перегородки(без распила):  </t>
  </si>
  <si>
    <t>Ручка накладная</t>
  </si>
  <si>
    <t>AA0037.VP000.WHGPC.CH</t>
  </si>
  <si>
    <t>AA0037.VP000.SLMAN.CH</t>
  </si>
  <si>
    <t>AA0037.VP000.BKMAN.CH</t>
  </si>
  <si>
    <t>AA0037.VP000.CHMAN.CH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</si>
</sst>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0">
    <numFmt numFmtId="43" formatCode="_-* #,##0.00\ _₽_-;\-* #,##0.00\ _₽_-;_-* &quot;-&quot;??\ _₽_-;_-@_-"/>
    <numFmt numFmtId="164" formatCode="#,##0&quot; мм.&quot;"/>
    <numFmt numFmtId="165" formatCode="#,##0&quot; шт.&quot;"/>
    <numFmt numFmtId="166" formatCode="#,##0.00&quot;р.&quot;"/>
    <numFmt numFmtId="167" formatCode="#,##0.0&quot; мм.&quot;"/>
    <numFmt numFmtId="168" formatCode="#,##0&quot; комп.&quot;"/>
    <numFmt numFmtId="169" formatCode="#,##0.00\ &quot;р.&quot;"/>
    <numFmt numFmtId="170" formatCode="0.0"/>
    <numFmt numFmtId="171" formatCode="#,##0.00&quot; шт.&quot;"/>
    <numFmt numFmtId="172" formatCode="#,##0&quot; мм&quot;"/>
    <numFmt numFmtId="173" formatCode="#,##0&quot; м.&quot;"/>
    <numFmt numFmtId="174" formatCode="_-* #,##0.00\ _р_._-;\-* #,##0.00\ _р_._-;_-* &quot;-&quot;??\ _р_._-;_-@_-"/>
    <numFmt numFmtId="175" formatCode="_-* #,##0.00&quot;р.&quot;_-;\-* #,##0.00&quot;р.&quot;_-;_-* &quot;-&quot;??&quot;р.&quot;_-;_-@_-"/>
    <numFmt numFmtId="176" formatCode="_-* #,##0.00_р_._-;\-* #,##0.00_р_._-;_-* &quot;-&quot;??_р_._-;_-@_-"/>
    <numFmt numFmtId="177" formatCode="_(&quot;$&quot;* #,##0.00_);_(&quot;$&quot;* \(#,##0.00\);_(&quot;$&quot;* &quot;-&quot;??_);_(@_)"/>
    <numFmt numFmtId="178" formatCode="0.00&quot; руб.&quot;"/>
    <numFmt numFmtId="179" formatCode="#,##0.00&quot; руб.&quot;"/>
    <numFmt numFmtId="180" formatCode="0.000"/>
    <numFmt numFmtId="181" formatCode="0&quot; кг.&quot;"/>
    <numFmt numFmtId="182" formatCode="#,##0&quot; А&quot;"/>
  </numFmts>
  <fonts count="39" x14ac:knownFonts="1">
    <font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1"/>
      <color rgb="FFC0000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color theme="1"/>
      <name val="Arial"/>
      <family val="2"/>
      <charset val="204"/>
    </font>
    <font>
      <u/>
      <sz val="10"/>
      <color theme="10"/>
      <name val="Arial"/>
      <family val="2"/>
      <charset val="204"/>
    </font>
    <font>
      <sz val="8"/>
      <name val="Arial"/>
      <family val="2"/>
      <charset val="204"/>
    </font>
    <font>
      <b/>
      <sz val="10"/>
      <color theme="0"/>
      <name val="Arial"/>
      <family val="2"/>
      <charset val="204"/>
    </font>
    <font>
      <sz val="10"/>
      <color theme="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0"/>
      <color rgb="FFFFFFFF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sz val="14"/>
      <name val="Calibri"/>
      <family val="2"/>
      <charset val="204"/>
      <scheme val="minor"/>
    </font>
    <font>
      <b/>
      <sz val="9"/>
      <name val="Arial"/>
      <family val="2"/>
      <charset val="204"/>
    </font>
    <font>
      <sz val="14"/>
      <color rgb="FFFFFFFF"/>
      <name val="Calibri"/>
      <family val="2"/>
      <charset val="204"/>
      <scheme val="minor"/>
    </font>
    <font>
      <sz val="8"/>
      <name val="Arial"/>
      <family val="2"/>
    </font>
    <font>
      <b/>
      <sz val="20"/>
      <color theme="1"/>
      <name val="Candara"/>
      <family val="2"/>
      <charset val="204"/>
    </font>
    <font>
      <sz val="9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4"/>
      <name val="Calibri"/>
      <family val="2"/>
      <scheme val="minor"/>
    </font>
    <font>
      <sz val="7"/>
      <name val="Calibri"/>
      <family val="2"/>
      <charset val="204"/>
      <scheme val="minor"/>
    </font>
    <font>
      <sz val="13"/>
      <color theme="1"/>
      <name val="Calibri"/>
      <family val="2"/>
      <charset val="204"/>
      <scheme val="minor"/>
    </font>
    <font>
      <sz val="13"/>
      <name val="Calibri"/>
      <family val="2"/>
      <charset val="204"/>
      <scheme val="minor"/>
    </font>
    <font>
      <sz val="1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</fills>
  <borders count="5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</borders>
  <cellStyleXfs count="3287">
    <xf numFmtId="0" fontId="0" fillId="0" borderId="0"/>
    <xf numFmtId="0" fontId="5" fillId="0" borderId="0"/>
    <xf numFmtId="0" fontId="10" fillId="0" borderId="0" applyNumberForma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177" fontId="12" fillId="0" borderId="0" applyFont="0" applyFill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175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2" fillId="0" borderId="0"/>
    <xf numFmtId="0" fontId="12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7" fontId="12" fillId="0" borderId="0" applyFont="0" applyFill="0" applyBorder="0" applyAlignment="0" applyProtection="0"/>
    <xf numFmtId="0" fontId="12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7" fontId="12" fillId="0" borderId="0" applyFont="0" applyFill="0" applyBorder="0" applyAlignment="0" applyProtection="0"/>
    <xf numFmtId="0" fontId="12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7" fontId="12" fillId="0" borderId="0" applyFont="0" applyFill="0" applyBorder="0" applyAlignment="0" applyProtection="0"/>
    <xf numFmtId="0" fontId="12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175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7" fontId="12" fillId="0" borderId="0" applyFont="0" applyFill="0" applyBorder="0" applyAlignment="0" applyProtection="0"/>
    <xf numFmtId="0" fontId="12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21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30" fillId="0" borderId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684">
    <xf numFmtId="0" fontId="0" fillId="0" borderId="0" xfId="0"/>
    <xf numFmtId="0" fontId="0" fillId="0" borderId="0" xfId="0" applyAlignment="1" applyProtection="1">
      <alignment vertical="center"/>
    </xf>
    <xf numFmtId="0" fontId="8" fillId="0" borderId="0" xfId="0" applyFont="1" applyAlignment="1" applyProtection="1">
      <alignment vertical="center"/>
    </xf>
    <xf numFmtId="0" fontId="4" fillId="0" borderId="0" xfId="0" applyFont="1" applyFill="1" applyBorder="1" applyAlignment="1" applyProtection="1">
      <alignment vertical="center"/>
    </xf>
    <xf numFmtId="0" fontId="4" fillId="0" borderId="0" xfId="0" applyFont="1" applyAlignment="1" applyProtection="1">
      <alignment vertical="center"/>
    </xf>
    <xf numFmtId="0" fontId="0" fillId="0" borderId="0" xfId="0" applyFill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15" fillId="0" borderId="0" xfId="2" applyFont="1" applyAlignment="1" applyProtection="1">
      <alignment horizontal="left"/>
    </xf>
    <xf numFmtId="0" fontId="2" fillId="0" borderId="0" xfId="0" applyFont="1" applyBorder="1" applyAlignment="1" applyProtection="1">
      <alignment horizontal="right" vertical="center"/>
    </xf>
    <xf numFmtId="0" fontId="1" fillId="0" borderId="0" xfId="0" applyFont="1" applyFill="1" applyBorder="1" applyAlignment="1" applyProtection="1">
      <alignment horizontal="center" vertical="center"/>
    </xf>
    <xf numFmtId="0" fontId="11" fillId="0" borderId="0" xfId="2" applyFont="1" applyBorder="1" applyAlignment="1" applyProtection="1">
      <alignment horizontal="center" vertical="center"/>
    </xf>
    <xf numFmtId="0" fontId="0" fillId="0" borderId="5" xfId="0" applyFill="1" applyBorder="1" applyAlignment="1" applyProtection="1">
      <alignment vertical="center"/>
    </xf>
    <xf numFmtId="0" fontId="0" fillId="0" borderId="13" xfId="0" applyBorder="1" applyAlignment="1" applyProtection="1">
      <alignment vertical="center"/>
    </xf>
    <xf numFmtId="0" fontId="0" fillId="0" borderId="5" xfId="0" applyBorder="1" applyAlignment="1" applyProtection="1">
      <alignment vertical="center"/>
    </xf>
    <xf numFmtId="0" fontId="0" fillId="0" borderId="14" xfId="0" applyBorder="1" applyAlignment="1" applyProtection="1">
      <alignment vertical="center"/>
    </xf>
    <xf numFmtId="0" fontId="25" fillId="6" borderId="1" xfId="0" applyFont="1" applyFill="1" applyBorder="1" applyAlignment="1" applyProtection="1">
      <alignment vertical="center"/>
      <protection locked="0"/>
    </xf>
    <xf numFmtId="172" fontId="25" fillId="7" borderId="1" xfId="0" applyNumberFormat="1" applyFont="1" applyFill="1" applyBorder="1" applyAlignment="1" applyProtection="1">
      <alignment horizontal="center" vertical="center"/>
    </xf>
    <xf numFmtId="172" fontId="25" fillId="6" borderId="1" xfId="0" applyNumberFormat="1" applyFont="1" applyFill="1" applyBorder="1" applyAlignment="1" applyProtection="1">
      <alignment horizontal="center" vertical="center"/>
      <protection locked="0"/>
    </xf>
    <xf numFmtId="167" fontId="0" fillId="0" borderId="0" xfId="0" applyNumberFormat="1" applyFill="1" applyBorder="1" applyAlignment="1" applyProtection="1">
      <alignment vertical="center"/>
    </xf>
    <xf numFmtId="164" fontId="0" fillId="0" borderId="0" xfId="0" applyNumberFormat="1" applyFill="1" applyBorder="1" applyAlignment="1" applyProtection="1">
      <alignment vertical="center"/>
    </xf>
    <xf numFmtId="0" fontId="2" fillId="0" borderId="0" xfId="0" applyFont="1" applyFill="1" applyBorder="1" applyAlignment="1" applyProtection="1">
      <alignment vertical="center"/>
    </xf>
    <xf numFmtId="0" fontId="24" fillId="0" borderId="2" xfId="0" applyFont="1" applyBorder="1" applyAlignment="1" applyProtection="1">
      <alignment horizontal="right" vertical="center"/>
    </xf>
    <xf numFmtId="0" fontId="24" fillId="0" borderId="2" xfId="0" applyFont="1" applyBorder="1" applyAlignment="1" applyProtection="1">
      <alignment vertical="center"/>
    </xf>
    <xf numFmtId="167" fontId="0" fillId="0" borderId="0" xfId="0" applyNumberFormat="1" applyBorder="1" applyAlignment="1" applyProtection="1">
      <alignment vertical="center"/>
    </xf>
    <xf numFmtId="0" fontId="12" fillId="0" borderId="0" xfId="0" applyFont="1" applyFill="1" applyBorder="1" applyProtection="1"/>
    <xf numFmtId="0" fontId="13" fillId="0" borderId="0" xfId="0" applyFont="1" applyAlignment="1" applyProtection="1">
      <alignment horizontal="left"/>
    </xf>
    <xf numFmtId="0" fontId="12" fillId="0" borderId="0" xfId="0" applyFont="1" applyFill="1" applyBorder="1" applyAlignment="1" applyProtection="1">
      <alignment horizontal="left" vertical="center"/>
    </xf>
    <xf numFmtId="0" fontId="12" fillId="0" borderId="0" xfId="0" applyFont="1" applyFill="1" applyBorder="1" applyAlignment="1" applyProtection="1">
      <alignment horizontal="right"/>
    </xf>
    <xf numFmtId="0" fontId="0" fillId="0" borderId="0" xfId="0" applyProtection="1"/>
    <xf numFmtId="0" fontId="12" fillId="0" borderId="0" xfId="0" applyFont="1" applyFill="1" applyBorder="1" applyAlignment="1" applyProtection="1">
      <alignment horizontal="center"/>
    </xf>
    <xf numFmtId="0" fontId="12" fillId="0" borderId="0" xfId="0" applyFont="1" applyFill="1" applyBorder="1" applyAlignment="1" applyProtection="1">
      <alignment horizontal="center" vertical="center"/>
    </xf>
    <xf numFmtId="169" fontId="12" fillId="0" borderId="0" xfId="0" applyNumberFormat="1" applyFont="1" applyFill="1" applyBorder="1" applyAlignment="1" applyProtection="1">
      <alignment horizontal="center" vertical="center"/>
    </xf>
    <xf numFmtId="0" fontId="13" fillId="0" borderId="0" xfId="0" applyFont="1" applyBorder="1" applyAlignment="1" applyProtection="1">
      <alignment horizontal="left"/>
    </xf>
    <xf numFmtId="9" fontId="13" fillId="0" borderId="0" xfId="3" applyNumberFormat="1" applyFont="1" applyFill="1" applyBorder="1" applyAlignment="1" applyProtection="1">
      <alignment horizontal="center" vertical="center" wrapText="1"/>
    </xf>
    <xf numFmtId="0" fontId="12" fillId="0" borderId="0" xfId="0" applyFont="1" applyAlignment="1" applyProtection="1">
      <alignment vertical="center"/>
    </xf>
    <xf numFmtId="0" fontId="12" fillId="0" borderId="0" xfId="0" applyFont="1" applyProtection="1"/>
    <xf numFmtId="2" fontId="12" fillId="0" borderId="0" xfId="0" applyNumberFormat="1" applyFont="1" applyProtection="1"/>
    <xf numFmtId="0" fontId="12" fillId="0" borderId="1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 vertical="center" wrapText="1"/>
    </xf>
    <xf numFmtId="0" fontId="17" fillId="0" borderId="0" xfId="0" applyFont="1" applyFill="1" applyBorder="1" applyAlignment="1" applyProtection="1">
      <alignment vertical="center" wrapText="1"/>
    </xf>
    <xf numFmtId="0" fontId="1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Protection="1"/>
    <xf numFmtId="0" fontId="13" fillId="0" borderId="0" xfId="0" applyFont="1" applyProtection="1"/>
    <xf numFmtId="0" fontId="12" fillId="0" borderId="1" xfId="0" applyFont="1" applyFill="1" applyBorder="1" applyAlignment="1" applyProtection="1">
      <alignment vertical="center" wrapText="1"/>
    </xf>
    <xf numFmtId="0" fontId="0" fillId="0" borderId="1" xfId="0" applyBorder="1" applyProtection="1"/>
    <xf numFmtId="169" fontId="12" fillId="0" borderId="1" xfId="0" applyNumberFormat="1" applyFont="1" applyBorder="1" applyAlignment="1" applyProtection="1">
      <alignment horizontal="center" vertical="center"/>
    </xf>
    <xf numFmtId="0" fontId="0" fillId="0" borderId="0" xfId="0" applyAlignment="1" applyProtection="1">
      <alignment horizontal="center"/>
    </xf>
    <xf numFmtId="0" fontId="7" fillId="0" borderId="0" xfId="0" applyFont="1" applyBorder="1" applyAlignment="1" applyProtection="1">
      <alignment vertical="center"/>
    </xf>
    <xf numFmtId="165" fontId="3" fillId="0" borderId="0" xfId="0" applyNumberFormat="1" applyFont="1" applyFill="1" applyAlignment="1" applyProtection="1">
      <alignment vertical="center"/>
    </xf>
    <xf numFmtId="0" fontId="9" fillId="0" borderId="5" xfId="0" applyFont="1" applyFill="1" applyBorder="1" applyAlignment="1" applyProtection="1">
      <alignment horizontal="left" vertical="center"/>
    </xf>
    <xf numFmtId="0" fontId="21" fillId="0" borderId="0" xfId="0" applyFont="1" applyAlignment="1" applyProtection="1">
      <alignment vertical="center"/>
    </xf>
    <xf numFmtId="0" fontId="24" fillId="0" borderId="0" xfId="0" applyFont="1" applyFill="1" applyBorder="1" applyAlignment="1" applyProtection="1">
      <alignment horizontal="left" vertical="center"/>
    </xf>
    <xf numFmtId="0" fontId="21" fillId="2" borderId="6" xfId="0" applyFont="1" applyFill="1" applyBorder="1" applyAlignment="1" applyProtection="1">
      <alignment horizontal="center" vertical="center" wrapText="1"/>
    </xf>
    <xf numFmtId="0" fontId="6" fillId="0" borderId="0" xfId="0" applyFont="1" applyFill="1" applyBorder="1" applyAlignment="1" applyProtection="1">
      <alignment vertical="center"/>
    </xf>
    <xf numFmtId="0" fontId="0" fillId="0" borderId="0" xfId="0" applyFill="1" applyAlignment="1" applyProtection="1">
      <alignment vertical="center"/>
    </xf>
    <xf numFmtId="0" fontId="1" fillId="0" borderId="5" xfId="0" applyFont="1" applyFill="1" applyBorder="1" applyAlignment="1" applyProtection="1">
      <alignment horizontal="center" vertical="center"/>
    </xf>
    <xf numFmtId="0" fontId="7" fillId="0" borderId="0" xfId="0" applyFont="1" applyAlignment="1" applyProtection="1">
      <alignment horizontal="left" vertical="top"/>
    </xf>
    <xf numFmtId="0" fontId="25" fillId="0" borderId="0" xfId="0" applyFont="1" applyAlignment="1" applyProtection="1">
      <alignment horizontal="left" vertical="top"/>
    </xf>
    <xf numFmtId="0" fontId="25" fillId="0" borderId="11" xfId="0" applyFont="1" applyBorder="1" applyAlignment="1" applyProtection="1">
      <alignment vertical="center"/>
    </xf>
    <xf numFmtId="0" fontId="25" fillId="0" borderId="3" xfId="0" applyFont="1" applyBorder="1" applyAlignment="1" applyProtection="1">
      <alignment vertical="center"/>
    </xf>
    <xf numFmtId="0" fontId="25" fillId="0" borderId="4" xfId="0" applyFont="1" applyBorder="1" applyAlignment="1" applyProtection="1">
      <alignment vertical="center"/>
    </xf>
    <xf numFmtId="0" fontId="25" fillId="0" borderId="13" xfId="0" applyFont="1" applyBorder="1" applyAlignment="1" applyProtection="1">
      <alignment horizontal="right"/>
    </xf>
    <xf numFmtId="165" fontId="25" fillId="2" borderId="21" xfId="0" applyNumberFormat="1" applyFont="1" applyFill="1" applyBorder="1" applyAlignment="1" applyProtection="1">
      <alignment horizontal="center" vertical="center"/>
    </xf>
    <xf numFmtId="0" fontId="25" fillId="0" borderId="13" xfId="0" applyFont="1" applyBorder="1" applyAlignment="1" applyProtection="1">
      <alignment horizontal="center" vertical="center"/>
    </xf>
    <xf numFmtId="0" fontId="25" fillId="0" borderId="5" xfId="0" applyFont="1" applyBorder="1" applyAlignment="1" applyProtection="1">
      <alignment horizontal="center" vertical="center"/>
    </xf>
    <xf numFmtId="0" fontId="23" fillId="0" borderId="0" xfId="0" applyFont="1" applyFill="1" applyBorder="1" applyAlignment="1" applyProtection="1">
      <alignment horizontal="right" vertical="center"/>
    </xf>
    <xf numFmtId="0" fontId="25" fillId="0" borderId="13" xfId="0" applyFont="1" applyBorder="1" applyAlignment="1" applyProtection="1">
      <alignment vertical="center"/>
    </xf>
    <xf numFmtId="0" fontId="25" fillId="0" borderId="0" xfId="0" applyFont="1" applyBorder="1" applyAlignment="1" applyProtection="1">
      <alignment vertical="center"/>
    </xf>
    <xf numFmtId="0" fontId="25" fillId="0" borderId="5" xfId="0" applyFont="1" applyBorder="1" applyAlignment="1" applyProtection="1">
      <alignment vertical="center"/>
    </xf>
    <xf numFmtId="0" fontId="25" fillId="0" borderId="2" xfId="0" applyFont="1" applyBorder="1" applyAlignment="1" applyProtection="1">
      <alignment horizontal="center" vertical="center"/>
    </xf>
    <xf numFmtId="0" fontId="20" fillId="0" borderId="1" xfId="0" applyFont="1" applyBorder="1" applyAlignment="1" applyProtection="1">
      <alignment horizontal="center" vertical="center"/>
    </xf>
    <xf numFmtId="0" fontId="20" fillId="0" borderId="6" xfId="0" applyFont="1" applyBorder="1" applyAlignment="1" applyProtection="1">
      <alignment horizontal="center" vertical="center"/>
    </xf>
    <xf numFmtId="0" fontId="25" fillId="0" borderId="2" xfId="0" applyFont="1" applyBorder="1" applyAlignment="1" applyProtection="1">
      <alignment vertical="center"/>
    </xf>
    <xf numFmtId="172" fontId="25" fillId="0" borderId="1" xfId="0" applyNumberFormat="1" applyFont="1" applyBorder="1" applyAlignment="1" applyProtection="1">
      <alignment horizontal="center" vertical="center"/>
    </xf>
    <xf numFmtId="165" fontId="25" fillId="0" borderId="1" xfId="0" applyNumberFormat="1" applyFont="1" applyBorder="1" applyAlignment="1" applyProtection="1">
      <alignment horizontal="center" vertical="center"/>
    </xf>
    <xf numFmtId="166" fontId="20" fillId="0" borderId="6" xfId="0" applyNumberFormat="1" applyFont="1" applyBorder="1" applyAlignment="1" applyProtection="1">
      <alignment horizontal="right" vertical="center"/>
    </xf>
    <xf numFmtId="0" fontId="26" fillId="0" borderId="0" xfId="0" applyFont="1" applyFill="1" applyAlignment="1" applyProtection="1">
      <alignment vertical="center"/>
    </xf>
    <xf numFmtId="169" fontId="0" fillId="0" borderId="0" xfId="0" applyNumberFormat="1" applyFill="1" applyBorder="1" applyAlignment="1" applyProtection="1">
      <alignment vertical="center"/>
    </xf>
    <xf numFmtId="169" fontId="0" fillId="0" borderId="0" xfId="0" applyNumberFormat="1" applyBorder="1" applyAlignment="1" applyProtection="1">
      <alignment vertical="center"/>
    </xf>
    <xf numFmtId="0" fontId="25" fillId="0" borderId="0" xfId="0" applyFont="1" applyAlignment="1" applyProtection="1">
      <alignment vertical="center"/>
    </xf>
    <xf numFmtId="0" fontId="7" fillId="0" borderId="2" xfId="0" applyFont="1" applyBorder="1" applyAlignment="1" applyProtection="1">
      <alignment vertical="center"/>
    </xf>
    <xf numFmtId="169" fontId="20" fillId="0" borderId="21" xfId="0" applyNumberFormat="1" applyFont="1" applyBorder="1" applyAlignment="1" applyProtection="1">
      <alignment horizontal="right" vertical="center"/>
    </xf>
    <xf numFmtId="0" fontId="25" fillId="0" borderId="1" xfId="0" applyFont="1" applyBorder="1" applyAlignment="1" applyProtection="1">
      <alignment vertical="center"/>
    </xf>
    <xf numFmtId="0" fontId="2" fillId="0" borderId="0" xfId="0" applyFont="1" applyBorder="1" applyAlignment="1" applyProtection="1">
      <alignment vertical="center"/>
    </xf>
    <xf numFmtId="0" fontId="25" fillId="0" borderId="0" xfId="0" applyFont="1" applyFill="1" applyBorder="1" applyAlignment="1" applyProtection="1">
      <alignment vertical="center"/>
    </xf>
    <xf numFmtId="0" fontId="25" fillId="0" borderId="0" xfId="0" applyFont="1" applyBorder="1" applyAlignment="1" applyProtection="1">
      <alignment horizontal="left" vertical="center"/>
    </xf>
    <xf numFmtId="0" fontId="25" fillId="0" borderId="13" xfId="0" applyFont="1" applyBorder="1" applyProtection="1"/>
    <xf numFmtId="0" fontId="25" fillId="0" borderId="0" xfId="0" applyFont="1" applyBorder="1" applyProtection="1"/>
    <xf numFmtId="169" fontId="20" fillId="0" borderId="0" xfId="0" applyNumberFormat="1" applyFont="1" applyBorder="1" applyAlignment="1" applyProtection="1">
      <alignment vertical="center"/>
    </xf>
    <xf numFmtId="0" fontId="0" fillId="0" borderId="0" xfId="0" applyFill="1" applyBorder="1" applyAlignment="1" applyProtection="1">
      <alignment horizontal="center" vertical="center"/>
    </xf>
    <xf numFmtId="0" fontId="25" fillId="0" borderId="0" xfId="0" applyFont="1" applyProtection="1"/>
    <xf numFmtId="0" fontId="25" fillId="0" borderId="14" xfId="0" applyFont="1" applyBorder="1" applyProtection="1"/>
    <xf numFmtId="0" fontId="25" fillId="0" borderId="9" xfId="0" applyFont="1" applyBorder="1" applyProtection="1"/>
    <xf numFmtId="0" fontId="25" fillId="0" borderId="9" xfId="0" applyFont="1" applyBorder="1" applyAlignment="1" applyProtection="1">
      <alignment horizontal="center" vertical="center"/>
    </xf>
    <xf numFmtId="0" fontId="25" fillId="0" borderId="10" xfId="0" applyFont="1" applyBorder="1" applyAlignment="1" applyProtection="1">
      <alignment horizontal="center" vertical="center"/>
    </xf>
    <xf numFmtId="166" fontId="20" fillId="6" borderId="1" xfId="0" applyNumberFormat="1" applyFont="1" applyFill="1" applyBorder="1" applyAlignment="1" applyProtection="1">
      <alignment horizontal="center" vertical="center"/>
      <protection locked="0"/>
    </xf>
    <xf numFmtId="164" fontId="21" fillId="2" borderId="1" xfId="0" applyNumberFormat="1" applyFont="1" applyFill="1" applyBorder="1" applyAlignment="1" applyProtection="1">
      <alignment horizontal="center" vertical="center"/>
    </xf>
    <xf numFmtId="0" fontId="25" fillId="0" borderId="13" xfId="0" applyFont="1" applyFill="1" applyBorder="1" applyAlignment="1" applyProtection="1">
      <alignment horizontal="center" vertical="center"/>
    </xf>
    <xf numFmtId="0" fontId="25" fillId="0" borderId="0" xfId="0" applyFont="1" applyFill="1" applyBorder="1" applyAlignment="1" applyProtection="1">
      <alignment horizontal="center" vertical="center"/>
    </xf>
    <xf numFmtId="0" fontId="21" fillId="0" borderId="0" xfId="0" applyFont="1" applyBorder="1" applyAlignment="1" applyProtection="1">
      <alignment vertical="center"/>
    </xf>
    <xf numFmtId="166" fontId="0" fillId="0" borderId="0" xfId="0" applyNumberFormat="1" applyFill="1" applyBorder="1" applyAlignment="1" applyProtection="1">
      <alignment vertical="center"/>
    </xf>
    <xf numFmtId="165" fontId="0" fillId="0" borderId="0" xfId="0" applyNumberFormat="1" applyFill="1" applyBorder="1" applyAlignment="1" applyProtection="1">
      <alignment vertical="center"/>
    </xf>
    <xf numFmtId="169" fontId="19" fillId="0" borderId="0" xfId="0" applyNumberFormat="1" applyFont="1" applyFill="1" applyBorder="1" applyAlignment="1" applyProtection="1">
      <alignment vertical="center"/>
    </xf>
    <xf numFmtId="169" fontId="19" fillId="0" borderId="0" xfId="0" applyNumberFormat="1" applyFont="1" applyBorder="1" applyAlignment="1" applyProtection="1">
      <alignment vertical="center"/>
    </xf>
    <xf numFmtId="0" fontId="7" fillId="0" borderId="0" xfId="0" applyFont="1" applyFill="1" applyBorder="1" applyAlignment="1" applyProtection="1">
      <alignment vertical="center"/>
    </xf>
    <xf numFmtId="0" fontId="4" fillId="0" borderId="0" xfId="0" applyFont="1" applyFill="1" applyAlignment="1" applyProtection="1">
      <alignment vertical="center"/>
    </xf>
    <xf numFmtId="165" fontId="3" fillId="0" borderId="0" xfId="0" applyNumberFormat="1" applyFont="1" applyAlignment="1" applyProtection="1">
      <alignment vertical="center"/>
    </xf>
    <xf numFmtId="0" fontId="24" fillId="0" borderId="2" xfId="0" applyFont="1" applyFill="1" applyBorder="1" applyAlignment="1" applyProtection="1">
      <alignment horizontal="right" vertical="center"/>
    </xf>
    <xf numFmtId="0" fontId="29" fillId="0" borderId="0" xfId="0" applyFont="1" applyFill="1" applyBorder="1" applyAlignment="1" applyProtection="1">
      <alignment vertical="center"/>
    </xf>
    <xf numFmtId="0" fontId="0" fillId="0" borderId="13" xfId="0" applyFill="1" applyBorder="1" applyAlignment="1" applyProtection="1">
      <alignment vertical="center"/>
    </xf>
    <xf numFmtId="0" fontId="1" fillId="0" borderId="13" xfId="0" applyFont="1" applyFill="1" applyBorder="1" applyAlignment="1" applyProtection="1">
      <alignment horizontal="center" vertical="center"/>
    </xf>
    <xf numFmtId="167" fontId="0" fillId="0" borderId="5" xfId="0" applyNumberFormat="1" applyFill="1" applyBorder="1" applyAlignment="1" applyProtection="1">
      <alignment vertical="center"/>
    </xf>
    <xf numFmtId="0" fontId="0" fillId="0" borderId="14" xfId="0" applyFill="1" applyBorder="1" applyAlignment="1" applyProtection="1">
      <alignment vertical="center"/>
    </xf>
    <xf numFmtId="0" fontId="8" fillId="0" borderId="0" xfId="0" applyFont="1" applyBorder="1" applyAlignment="1" applyProtection="1">
      <alignment vertical="center"/>
    </xf>
    <xf numFmtId="165" fontId="3" fillId="0" borderId="0" xfId="0" applyNumberFormat="1" applyFont="1" applyBorder="1" applyAlignment="1" applyProtection="1">
      <alignment vertical="center"/>
    </xf>
    <xf numFmtId="0" fontId="0" fillId="0" borderId="0" xfId="0" applyFill="1" applyAlignment="1" applyProtection="1">
      <alignment vertical="center" wrapText="1"/>
    </xf>
    <xf numFmtId="0" fontId="21" fillId="0" borderId="0" xfId="0" applyFont="1" applyFill="1" applyBorder="1" applyAlignment="1" applyProtection="1">
      <alignment horizontal="left" vertical="center"/>
    </xf>
    <xf numFmtId="0" fontId="0" fillId="0" borderId="0" xfId="0" applyFont="1" applyFill="1" applyBorder="1" applyAlignment="1" applyProtection="1">
      <alignment horizontal="left" vertical="center"/>
    </xf>
    <xf numFmtId="0" fontId="21" fillId="0" borderId="0" xfId="0" applyFont="1" applyFill="1" applyBorder="1" applyAlignment="1" applyProtection="1">
      <alignment vertical="center"/>
    </xf>
    <xf numFmtId="0" fontId="22" fillId="0" borderId="0" xfId="0" applyFont="1" applyFill="1" applyBorder="1" applyAlignment="1" applyProtection="1">
      <alignment horizontal="center" vertical="center"/>
    </xf>
    <xf numFmtId="0" fontId="22" fillId="0" borderId="5" xfId="0" applyFont="1" applyFill="1" applyBorder="1" applyAlignment="1" applyProtection="1">
      <alignment horizontal="center" vertical="center"/>
    </xf>
    <xf numFmtId="0" fontId="2" fillId="0" borderId="13" xfId="0" applyFont="1" applyFill="1" applyBorder="1" applyAlignment="1" applyProtection="1">
      <alignment vertical="center"/>
    </xf>
    <xf numFmtId="9" fontId="13" fillId="6" borderId="1" xfId="3" applyNumberFormat="1" applyFont="1" applyFill="1" applyBorder="1" applyAlignment="1" applyProtection="1">
      <alignment horizontal="center" vertical="center" wrapText="1"/>
      <protection locked="0"/>
    </xf>
    <xf numFmtId="169" fontId="21" fillId="0" borderId="1" xfId="0" applyNumberFormat="1" applyFont="1" applyBorder="1" applyAlignment="1" applyProtection="1">
      <alignment horizontal="center" vertical="center"/>
    </xf>
    <xf numFmtId="169" fontId="12" fillId="6" borderId="1" xfId="0" applyNumberFormat="1" applyFont="1" applyFill="1" applyBorder="1" applyAlignment="1" applyProtection="1">
      <alignment horizontal="center" vertical="center"/>
      <protection locked="0"/>
    </xf>
    <xf numFmtId="164" fontId="21" fillId="0" borderId="1" xfId="0" applyNumberFormat="1" applyFont="1" applyFill="1" applyBorder="1" applyAlignment="1" applyProtection="1">
      <alignment horizontal="center" vertical="center"/>
    </xf>
    <xf numFmtId="165" fontId="21" fillId="0" borderId="1" xfId="0" applyNumberFormat="1" applyFont="1" applyFill="1" applyBorder="1" applyAlignment="1" applyProtection="1">
      <alignment horizontal="center" vertical="center"/>
    </xf>
    <xf numFmtId="0" fontId="21" fillId="0" borderId="1" xfId="0" applyFont="1" applyBorder="1" applyAlignment="1" applyProtection="1">
      <alignment horizontal="center" vertical="center" wrapText="1"/>
    </xf>
    <xf numFmtId="164" fontId="24" fillId="0" borderId="1" xfId="0" applyNumberFormat="1" applyFont="1" applyBorder="1" applyAlignment="1" applyProtection="1">
      <alignment horizontal="center" vertical="center"/>
    </xf>
    <xf numFmtId="165" fontId="24" fillId="0" borderId="1" xfId="0" applyNumberFormat="1" applyFont="1" applyBorder="1" applyAlignment="1" applyProtection="1">
      <alignment horizontal="center" vertical="center"/>
    </xf>
    <xf numFmtId="169" fontId="0" fillId="0" borderId="1" xfId="0" applyNumberFormat="1" applyBorder="1" applyAlignment="1" applyProtection="1">
      <alignment horizontal="center" vertical="center"/>
    </xf>
    <xf numFmtId="166" fontId="20" fillId="0" borderId="34" xfId="0" applyNumberFormat="1" applyFont="1" applyBorder="1" applyAlignment="1" applyProtection="1">
      <alignment horizontal="right" vertical="center"/>
    </xf>
    <xf numFmtId="165" fontId="24" fillId="0" borderId="2" xfId="0" applyNumberFormat="1" applyFont="1" applyBorder="1" applyAlignment="1" applyProtection="1">
      <alignment vertical="center"/>
    </xf>
    <xf numFmtId="165" fontId="24" fillId="0" borderId="2" xfId="0" applyNumberFormat="1" applyFont="1" applyFill="1" applyBorder="1" applyAlignment="1" applyProtection="1">
      <alignment vertical="center"/>
    </xf>
    <xf numFmtId="169" fontId="3" fillId="0" borderId="21" xfId="0" applyNumberFormat="1" applyFont="1" applyBorder="1" applyAlignment="1" applyProtection="1">
      <alignment horizontal="center" vertical="center"/>
    </xf>
    <xf numFmtId="0" fontId="9" fillId="0" borderId="4" xfId="0" applyFont="1" applyFill="1" applyBorder="1" applyAlignment="1" applyProtection="1">
      <alignment horizontal="left" vertical="center"/>
    </xf>
    <xf numFmtId="169" fontId="19" fillId="0" borderId="21" xfId="0" applyNumberFormat="1" applyFont="1" applyBorder="1" applyAlignment="1" applyProtection="1">
      <alignment horizontal="center" vertical="center"/>
    </xf>
    <xf numFmtId="0" fontId="0" fillId="0" borderId="10" xfId="0" applyBorder="1" applyAlignment="1" applyProtection="1">
      <alignment vertical="center"/>
    </xf>
    <xf numFmtId="0" fontId="0" fillId="0" borderId="10" xfId="0" applyFill="1" applyBorder="1" applyAlignment="1" applyProtection="1">
      <alignment vertical="center"/>
    </xf>
    <xf numFmtId="0" fontId="12" fillId="0" borderId="1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 applyProtection="1">
      <alignment vertical="center"/>
    </xf>
    <xf numFmtId="0" fontId="4" fillId="2" borderId="1" xfId="0" applyFont="1" applyFill="1" applyBorder="1" applyAlignment="1" applyProtection="1">
      <alignment vertical="center"/>
    </xf>
    <xf numFmtId="0" fontId="4" fillId="9" borderId="1" xfId="0" applyFont="1" applyFill="1" applyBorder="1" applyAlignment="1" applyProtection="1">
      <alignment vertical="center"/>
    </xf>
    <xf numFmtId="0" fontId="4" fillId="0" borderId="0" xfId="0" applyFont="1" applyBorder="1" applyAlignment="1" applyProtection="1">
      <alignment vertical="center"/>
    </xf>
    <xf numFmtId="0" fontId="4" fillId="0" borderId="21" xfId="0" applyFont="1" applyFill="1" applyBorder="1" applyAlignment="1" applyProtection="1">
      <alignment vertical="center"/>
    </xf>
    <xf numFmtId="4" fontId="0" fillId="0" borderId="0" xfId="0" applyNumberFormat="1" applyBorder="1" applyAlignment="1" applyProtection="1">
      <alignment vertical="center"/>
    </xf>
    <xf numFmtId="4" fontId="0" fillId="0" borderId="21" xfId="0" applyNumberFormat="1" applyBorder="1" applyAlignment="1" applyProtection="1">
      <alignment vertical="center"/>
    </xf>
    <xf numFmtId="181" fontId="25" fillId="0" borderId="21" xfId="0" applyNumberFormat="1" applyFont="1" applyBorder="1" applyAlignment="1" applyProtection="1">
      <alignment horizontal="center" vertical="center"/>
    </xf>
    <xf numFmtId="0" fontId="31" fillId="0" borderId="0" xfId="0" applyFont="1" applyFill="1" applyAlignment="1" applyProtection="1">
      <alignment horizontal="center" vertical="center" wrapText="1"/>
    </xf>
    <xf numFmtId="0" fontId="24" fillId="0" borderId="7" xfId="0" applyFont="1" applyBorder="1" applyAlignment="1" applyProtection="1">
      <alignment horizontal="right" vertical="center"/>
    </xf>
    <xf numFmtId="0" fontId="0" fillId="0" borderId="9" xfId="0" applyBorder="1" applyAlignment="1" applyProtection="1">
      <alignment vertical="center"/>
    </xf>
    <xf numFmtId="0" fontId="4" fillId="0" borderId="0" xfId="0" applyFont="1" applyBorder="1" applyAlignment="1" applyProtection="1">
      <alignment vertical="center" wrapText="1"/>
    </xf>
    <xf numFmtId="169" fontId="12" fillId="0" borderId="1" xfId="0" applyNumberFormat="1" applyFont="1" applyFill="1" applyBorder="1" applyAlignment="1" applyProtection="1">
      <alignment horizontal="center" vertical="center"/>
    </xf>
    <xf numFmtId="169" fontId="12" fillId="0" borderId="1" xfId="0" applyNumberFormat="1" applyFont="1" applyFill="1" applyBorder="1" applyAlignment="1">
      <alignment horizontal="center" vertical="center"/>
    </xf>
    <xf numFmtId="0" fontId="12" fillId="0" borderId="1" xfId="0" applyFont="1" applyBorder="1" applyAlignment="1" applyProtection="1">
      <alignment horizontal="center" vertical="center" wrapText="1"/>
    </xf>
    <xf numFmtId="170" fontId="12" fillId="0" borderId="1" xfId="0" applyNumberFormat="1" applyFont="1" applyBorder="1" applyAlignment="1" applyProtection="1">
      <alignment horizontal="center" vertical="center"/>
    </xf>
    <xf numFmtId="0" fontId="12" fillId="0" borderId="1" xfId="0" applyFont="1" applyBorder="1" applyAlignment="1" applyProtection="1">
      <alignment horizontal="center" vertical="center"/>
    </xf>
    <xf numFmtId="0" fontId="12" fillId="0" borderId="1" xfId="0" applyFont="1" applyFill="1" applyBorder="1" applyAlignment="1" applyProtection="1">
      <alignment horizontal="center" vertical="center"/>
    </xf>
    <xf numFmtId="0" fontId="13" fillId="0" borderId="1" xfId="0" applyFont="1" applyFill="1" applyBorder="1" applyAlignment="1" applyProtection="1">
      <alignment horizontal="center" vertical="center" wrapText="1"/>
    </xf>
    <xf numFmtId="0" fontId="12" fillId="0" borderId="1" xfId="0" applyFont="1" applyBorder="1" applyAlignment="1" applyProtection="1">
      <alignment horizontal="center" vertical="center" wrapText="1"/>
    </xf>
    <xf numFmtId="169" fontId="12" fillId="0" borderId="1" xfId="0" applyNumberFormat="1" applyFont="1" applyFill="1" applyBorder="1" applyAlignment="1" applyProtection="1">
      <alignment horizontal="center" vertical="center"/>
    </xf>
    <xf numFmtId="169" fontId="14" fillId="0" borderId="1" xfId="0" applyNumberFormat="1" applyFont="1" applyBorder="1" applyAlignment="1" applyProtection="1">
      <alignment horizontal="center" vertical="center"/>
    </xf>
    <xf numFmtId="169" fontId="12" fillId="0" borderId="1" xfId="0" applyNumberFormat="1" applyFont="1" applyFill="1" applyBorder="1" applyAlignment="1">
      <alignment horizontal="center" vertical="center"/>
    </xf>
    <xf numFmtId="0" fontId="12" fillId="0" borderId="0" xfId="0" applyFont="1" applyBorder="1" applyAlignment="1" applyProtection="1">
      <alignment vertical="center"/>
    </xf>
    <xf numFmtId="169" fontId="12" fillId="0" borderId="1" xfId="0" applyNumberFormat="1" applyFont="1" applyFill="1" applyBorder="1" applyAlignment="1" applyProtection="1">
      <alignment vertical="center"/>
    </xf>
    <xf numFmtId="169" fontId="12" fillId="0" borderId="1" xfId="0" applyNumberFormat="1" applyFont="1" applyFill="1" applyBorder="1" applyAlignment="1" applyProtection="1">
      <alignment vertical="center"/>
    </xf>
    <xf numFmtId="170" fontId="12" fillId="0" borderId="1" xfId="0" applyNumberFormat="1" applyFont="1" applyFill="1" applyBorder="1" applyAlignment="1" applyProtection="1">
      <alignment horizontal="center" vertical="center"/>
    </xf>
    <xf numFmtId="0" fontId="14" fillId="0" borderId="1" xfId="0" applyFont="1" applyFill="1" applyBorder="1" applyAlignment="1" applyProtection="1">
      <alignment horizontal="center" vertical="center"/>
    </xf>
    <xf numFmtId="0" fontId="17" fillId="0" borderId="1" xfId="0" applyFont="1" applyFill="1" applyBorder="1" applyAlignment="1" applyProtection="1">
      <alignment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18" fillId="0" borderId="1" xfId="0" applyFont="1" applyFill="1" applyBorder="1" applyAlignment="1" applyProtection="1">
      <alignment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169" fontId="14" fillId="0" borderId="1" xfId="0" applyNumberFormat="1" applyFont="1" applyFill="1" applyBorder="1" applyAlignment="1" applyProtection="1">
      <alignment horizontal="center" vertical="center"/>
    </xf>
    <xf numFmtId="0" fontId="12" fillId="0" borderId="1" xfId="0" applyFont="1" applyFill="1" applyBorder="1" applyAlignment="1">
      <alignment horizontal="left" vertical="center" wrapText="1"/>
    </xf>
    <xf numFmtId="0" fontId="17" fillId="0" borderId="1" xfId="0" applyFont="1" applyFill="1" applyBorder="1" applyAlignment="1" applyProtection="1">
      <alignment horizontal="center" vertical="center" wrapText="1"/>
    </xf>
    <xf numFmtId="0" fontId="18" fillId="0" borderId="1" xfId="0" applyFont="1" applyFill="1" applyBorder="1" applyAlignment="1" applyProtection="1">
      <alignment horizontal="center" vertical="center" wrapText="1"/>
    </xf>
    <xf numFmtId="0" fontId="13" fillId="0" borderId="1" xfId="0" applyFont="1" applyFill="1" applyBorder="1" applyAlignment="1" applyProtection="1">
      <alignment horizontal="center" vertical="center"/>
    </xf>
    <xf numFmtId="0" fontId="12" fillId="0" borderId="1" xfId="0" applyFont="1" applyFill="1" applyBorder="1" applyAlignment="1" applyProtection="1">
      <alignment horizontal="left" vertical="center" wrapText="1"/>
    </xf>
    <xf numFmtId="0" fontId="13" fillId="4" borderId="1" xfId="0" applyFont="1" applyFill="1" applyBorder="1" applyAlignment="1" applyProtection="1">
      <alignment horizontal="center" vertical="center" wrapText="1"/>
    </xf>
    <xf numFmtId="169" fontId="28" fillId="4" borderId="1" xfId="3" applyNumberFormat="1" applyFont="1" applyFill="1" applyBorder="1" applyAlignment="1" applyProtection="1">
      <alignment horizontal="center" vertical="center" wrapText="1"/>
    </xf>
    <xf numFmtId="169" fontId="13" fillId="4" borderId="1" xfId="3" applyNumberFormat="1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left" vertical="center" wrapText="1"/>
    </xf>
    <xf numFmtId="0" fontId="0" fillId="0" borderId="0" xfId="0" applyAlignment="1" applyProtection="1">
      <alignment horizontal="left" vertical="center"/>
    </xf>
    <xf numFmtId="0" fontId="0" fillId="0" borderId="1" xfId="0" applyFill="1" applyBorder="1" applyAlignment="1" applyProtection="1">
      <alignment vertical="center"/>
    </xf>
    <xf numFmtId="0" fontId="0" fillId="0" borderId="1" xfId="0" applyBorder="1" applyAlignment="1" applyProtection="1">
      <alignment vertical="center"/>
    </xf>
    <xf numFmtId="0" fontId="6" fillId="0" borderId="1" xfId="0" applyFont="1" applyFill="1" applyBorder="1" applyAlignment="1" applyProtection="1">
      <alignment vertical="center"/>
    </xf>
    <xf numFmtId="0" fontId="4" fillId="0" borderId="1" xfId="0" applyFont="1" applyBorder="1" applyAlignment="1" applyProtection="1">
      <alignment vertical="center"/>
    </xf>
    <xf numFmtId="0" fontId="4" fillId="0" borderId="1" xfId="0" applyFont="1" applyBorder="1" applyAlignment="1" applyProtection="1">
      <alignment vertical="center" wrapText="1"/>
    </xf>
    <xf numFmtId="0" fontId="4" fillId="6" borderId="1" xfId="0" applyFont="1" applyFill="1" applyBorder="1" applyAlignment="1" applyProtection="1">
      <alignment vertical="center"/>
    </xf>
    <xf numFmtId="0" fontId="4" fillId="10" borderId="1" xfId="0" applyFont="1" applyFill="1" applyBorder="1" applyAlignment="1" applyProtection="1">
      <alignment vertical="center"/>
    </xf>
    <xf numFmtId="0" fontId="0" fillId="9" borderId="1" xfId="0" applyFill="1" applyBorder="1" applyAlignment="1" applyProtection="1">
      <alignment vertical="center"/>
    </xf>
    <xf numFmtId="164" fontId="21" fillId="2" borderId="33" xfId="0" applyNumberFormat="1" applyFont="1" applyFill="1" applyBorder="1" applyAlignment="1" applyProtection="1">
      <alignment horizontal="center" vertical="center"/>
    </xf>
    <xf numFmtId="0" fontId="27" fillId="0" borderId="0" xfId="0" applyFont="1" applyFill="1" applyBorder="1" applyAlignment="1" applyProtection="1">
      <alignment horizontal="right" vertical="center"/>
    </xf>
    <xf numFmtId="4" fontId="0" fillId="0" borderId="31" xfId="0" applyNumberFormat="1" applyBorder="1" applyAlignment="1" applyProtection="1">
      <alignment vertical="center"/>
    </xf>
    <xf numFmtId="0" fontId="4" fillId="0" borderId="33" xfId="0" applyFont="1" applyFill="1" applyBorder="1" applyAlignment="1" applyProtection="1">
      <alignment vertical="center"/>
    </xf>
    <xf numFmtId="0" fontId="4" fillId="9" borderId="15" xfId="0" applyFont="1" applyFill="1" applyBorder="1" applyAlignment="1" applyProtection="1">
      <alignment vertical="center"/>
    </xf>
    <xf numFmtId="0" fontId="4" fillId="0" borderId="15" xfId="0" applyFont="1" applyFill="1" applyBorder="1" applyAlignment="1" applyProtection="1">
      <alignment vertical="center"/>
    </xf>
    <xf numFmtId="0" fontId="0" fillId="0" borderId="15" xfId="0" applyFill="1" applyBorder="1" applyAlignment="1" applyProtection="1">
      <alignment vertical="center"/>
    </xf>
    <xf numFmtId="0" fontId="4" fillId="9" borderId="16" xfId="0" applyFont="1" applyFill="1" applyBorder="1" applyAlignment="1" applyProtection="1">
      <alignment vertical="center"/>
    </xf>
    <xf numFmtId="0" fontId="4" fillId="0" borderId="16" xfId="0" applyFont="1" applyFill="1" applyBorder="1" applyAlignment="1" applyProtection="1">
      <alignment vertical="center"/>
    </xf>
    <xf numFmtId="0" fontId="0" fillId="0" borderId="16" xfId="0" applyFill="1" applyBorder="1" applyAlignment="1" applyProtection="1">
      <alignment vertical="center"/>
    </xf>
    <xf numFmtId="0" fontId="7" fillId="0" borderId="0" xfId="0" applyFont="1" applyFill="1" applyBorder="1" applyAlignment="1" applyProtection="1">
      <alignment vertical="center" wrapText="1"/>
    </xf>
    <xf numFmtId="0" fontId="25" fillId="0" borderId="13" xfId="0" applyFont="1" applyBorder="1" applyAlignment="1" applyProtection="1">
      <alignment horizontal="right" vertical="center"/>
    </xf>
    <xf numFmtId="0" fontId="32" fillId="2" borderId="1" xfId="0" applyFont="1" applyFill="1" applyBorder="1" applyAlignment="1" applyProtection="1">
      <alignment horizontal="center" vertical="center" wrapText="1"/>
    </xf>
    <xf numFmtId="0" fontId="21" fillId="0" borderId="33" xfId="0" applyFont="1" applyBorder="1" applyAlignment="1" applyProtection="1">
      <alignment horizontal="center" vertical="center"/>
    </xf>
    <xf numFmtId="0" fontId="21" fillId="0" borderId="33" xfId="0" applyFont="1" applyFill="1" applyBorder="1" applyAlignment="1" applyProtection="1">
      <alignment horizontal="center" vertical="center"/>
    </xf>
    <xf numFmtId="0" fontId="21" fillId="0" borderId="33" xfId="0" applyFont="1" applyBorder="1" applyAlignment="1" applyProtection="1">
      <alignment horizontal="center" vertical="center" wrapText="1"/>
    </xf>
    <xf numFmtId="4" fontId="13" fillId="0" borderId="1" xfId="0" applyNumberFormat="1" applyFont="1" applyFill="1" applyBorder="1" applyAlignment="1" applyProtection="1">
      <alignment horizontal="center" vertical="center"/>
    </xf>
    <xf numFmtId="4" fontId="13" fillId="3" borderId="1" xfId="0" applyNumberFormat="1" applyFont="1" applyFill="1" applyBorder="1" applyAlignment="1" applyProtection="1">
      <alignment horizontal="center" vertical="center"/>
    </xf>
    <xf numFmtId="169" fontId="12" fillId="0" borderId="1" xfId="0" applyNumberFormat="1" applyFont="1" applyFill="1" applyBorder="1" applyAlignment="1" applyProtection="1">
      <alignment horizontal="center" vertical="center" wrapText="1"/>
    </xf>
    <xf numFmtId="179" fontId="12" fillId="8" borderId="1" xfId="3267" applyNumberFormat="1" applyFont="1" applyFill="1" applyBorder="1" applyAlignment="1">
      <alignment horizontal="center" vertical="center" wrapText="1"/>
    </xf>
    <xf numFmtId="4" fontId="14" fillId="0" borderId="1" xfId="0" applyNumberFormat="1" applyFont="1" applyFill="1" applyBorder="1" applyAlignment="1">
      <alignment horizontal="center" vertical="center" wrapText="1"/>
    </xf>
    <xf numFmtId="178" fontId="12" fillId="8" borderId="1" xfId="3267" applyNumberFormat="1" applyFont="1" applyFill="1" applyBorder="1" applyAlignment="1">
      <alignment horizontal="center" vertical="center" wrapText="1"/>
    </xf>
    <xf numFmtId="2" fontId="14" fillId="0" borderId="1" xfId="0" applyNumberFormat="1" applyFont="1" applyFill="1" applyBorder="1" applyAlignment="1">
      <alignment horizontal="center" vertical="center" wrapText="1"/>
    </xf>
    <xf numFmtId="0" fontId="14" fillId="0" borderId="1" xfId="0" applyFont="1" applyBorder="1" applyAlignment="1" applyProtection="1">
      <alignment horizontal="center" vertical="center"/>
    </xf>
    <xf numFmtId="169" fontId="12" fillId="0" borderId="1" xfId="0" applyNumberFormat="1" applyFont="1" applyFill="1" applyBorder="1" applyAlignment="1">
      <alignment vertical="center"/>
    </xf>
    <xf numFmtId="0" fontId="12" fillId="0" borderId="1" xfId="0" applyFont="1" applyFill="1" applyBorder="1" applyAlignment="1" applyProtection="1">
      <alignment vertical="center"/>
    </xf>
    <xf numFmtId="0" fontId="0" fillId="8" borderId="1" xfId="0" applyNumberFormat="1" applyFont="1" applyFill="1" applyBorder="1" applyAlignment="1">
      <alignment horizontal="center" vertical="center" wrapText="1"/>
    </xf>
    <xf numFmtId="0" fontId="13" fillId="0" borderId="0" xfId="0" applyFont="1" applyAlignment="1" applyProtection="1">
      <alignment horizontal="center" vertical="center"/>
    </xf>
    <xf numFmtId="0" fontId="13" fillId="0" borderId="0" xfId="0" applyFont="1" applyBorder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 applyProtection="1">
      <alignment horizontal="center" vertical="center" wrapText="1"/>
    </xf>
    <xf numFmtId="169" fontId="12" fillId="0" borderId="1" xfId="6" applyNumberFormat="1" applyFont="1" applyFill="1" applyBorder="1" applyAlignment="1">
      <alignment vertical="center"/>
    </xf>
    <xf numFmtId="178" fontId="0" fillId="8" borderId="1" xfId="0" applyNumberFormat="1" applyFont="1" applyFill="1" applyBorder="1" applyAlignment="1">
      <alignment horizontal="right" vertical="top" wrapText="1"/>
    </xf>
    <xf numFmtId="0" fontId="17" fillId="3" borderId="1" xfId="0" applyFont="1" applyFill="1" applyBorder="1" applyAlignment="1" applyProtection="1">
      <alignment vertical="center"/>
    </xf>
    <xf numFmtId="165" fontId="0" fillId="0" borderId="1" xfId="0" applyNumberFormat="1" applyBorder="1" applyAlignment="1" applyProtection="1">
      <alignment horizontal="center" vertical="center"/>
    </xf>
    <xf numFmtId="169" fontId="0" fillId="0" borderId="6" xfId="0" applyNumberFormat="1" applyBorder="1" applyAlignment="1" applyProtection="1">
      <alignment horizontal="center" vertical="center"/>
    </xf>
    <xf numFmtId="168" fontId="24" fillId="0" borderId="6" xfId="1" applyNumberFormat="1" applyFont="1" applyFill="1" applyBorder="1" applyAlignment="1" applyProtection="1">
      <alignment horizontal="center" vertical="center"/>
    </xf>
    <xf numFmtId="165" fontId="24" fillId="0" borderId="6" xfId="0" applyNumberFormat="1" applyFont="1" applyFill="1" applyBorder="1" applyAlignment="1" applyProtection="1">
      <alignment horizontal="center" vertical="center"/>
    </xf>
    <xf numFmtId="165" fontId="24" fillId="0" borderId="6" xfId="1" applyNumberFormat="1" applyFont="1" applyFill="1" applyBorder="1" applyAlignment="1" applyProtection="1">
      <alignment horizontal="center" vertical="center"/>
    </xf>
    <xf numFmtId="173" fontId="24" fillId="0" borderId="6" xfId="0" applyNumberFormat="1" applyFont="1" applyFill="1" applyBorder="1" applyAlignment="1" applyProtection="1">
      <alignment horizontal="center" vertical="center"/>
    </xf>
    <xf numFmtId="173" fontId="24" fillId="0" borderId="6" xfId="1" applyNumberFormat="1" applyFont="1" applyFill="1" applyBorder="1" applyAlignment="1" applyProtection="1">
      <alignment horizontal="center" vertical="center"/>
    </xf>
    <xf numFmtId="0" fontId="24" fillId="0" borderId="1" xfId="0" applyFont="1" applyBorder="1" applyAlignment="1" applyProtection="1">
      <alignment horizontal="center" vertical="center"/>
    </xf>
    <xf numFmtId="0" fontId="21" fillId="0" borderId="1" xfId="0" applyFont="1" applyBorder="1" applyAlignment="1" applyProtection="1">
      <alignment horizontal="center" vertical="center"/>
    </xf>
    <xf numFmtId="0" fontId="24" fillId="0" borderId="1" xfId="0" applyFont="1" applyBorder="1" applyAlignment="1" applyProtection="1">
      <alignment horizontal="center" vertical="center" wrapText="1"/>
    </xf>
    <xf numFmtId="0" fontId="24" fillId="0" borderId="1" xfId="0" applyFont="1" applyFill="1" applyBorder="1" applyAlignment="1" applyProtection="1">
      <alignment horizontal="center" vertical="center"/>
    </xf>
    <xf numFmtId="0" fontId="21" fillId="2" borderId="6" xfId="0" applyFont="1" applyFill="1" applyBorder="1" applyAlignment="1" applyProtection="1">
      <alignment horizontal="center" vertical="center"/>
    </xf>
    <xf numFmtId="169" fontId="21" fillId="0" borderId="34" xfId="0" applyNumberFormat="1" applyFont="1" applyBorder="1" applyAlignment="1" applyProtection="1">
      <alignment horizontal="center" vertical="center"/>
    </xf>
    <xf numFmtId="0" fontId="33" fillId="0" borderId="0" xfId="0" applyFont="1" applyFill="1" applyBorder="1" applyAlignment="1" applyProtection="1">
      <alignment vertical="center"/>
    </xf>
    <xf numFmtId="169" fontId="0" fillId="0" borderId="6" xfId="0" applyNumberFormat="1" applyFill="1" applyBorder="1" applyAlignment="1" applyProtection="1">
      <alignment horizontal="center" vertical="center"/>
    </xf>
    <xf numFmtId="169" fontId="24" fillId="0" borderId="0" xfId="1" applyNumberFormat="1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 wrapText="1"/>
    </xf>
    <xf numFmtId="0" fontId="24" fillId="0" borderId="0" xfId="0" applyFont="1" applyFill="1" applyBorder="1" applyAlignment="1" applyProtection="1">
      <alignment horizontal="right" vertical="center"/>
    </xf>
    <xf numFmtId="0" fontId="21" fillId="0" borderId="0" xfId="0" applyFont="1" applyFill="1" applyBorder="1" applyAlignment="1" applyProtection="1">
      <alignment horizontal="right" vertical="center"/>
    </xf>
    <xf numFmtId="165" fontId="0" fillId="0" borderId="0" xfId="0" applyNumberFormat="1" applyFill="1" applyBorder="1" applyAlignment="1" applyProtection="1">
      <alignment horizontal="center" vertical="center"/>
    </xf>
    <xf numFmtId="168" fontId="24" fillId="0" borderId="0" xfId="1" applyNumberFormat="1" applyFont="1" applyFill="1" applyBorder="1" applyAlignment="1" applyProtection="1">
      <alignment horizontal="center" vertical="center"/>
    </xf>
    <xf numFmtId="165" fontId="21" fillId="0" borderId="0" xfId="0" applyNumberFormat="1" applyFont="1" applyFill="1" applyBorder="1" applyAlignment="1" applyProtection="1">
      <alignment horizontal="center" vertical="center"/>
    </xf>
    <xf numFmtId="165" fontId="24" fillId="0" borderId="0" xfId="0" applyNumberFormat="1" applyFont="1" applyFill="1" applyBorder="1" applyAlignment="1" applyProtection="1">
      <alignment horizontal="center" vertical="center"/>
    </xf>
    <xf numFmtId="165" fontId="24" fillId="0" borderId="0" xfId="1" applyNumberFormat="1" applyFont="1" applyFill="1" applyBorder="1" applyAlignment="1" applyProtection="1">
      <alignment horizontal="center" vertical="center"/>
    </xf>
    <xf numFmtId="173" fontId="24" fillId="0" borderId="0" xfId="0" applyNumberFormat="1" applyFont="1" applyFill="1" applyBorder="1" applyAlignment="1" applyProtection="1">
      <alignment horizontal="center" vertical="center"/>
    </xf>
    <xf numFmtId="173" fontId="24" fillId="0" borderId="0" xfId="1" applyNumberFormat="1" applyFont="1" applyFill="1" applyBorder="1" applyAlignment="1" applyProtection="1">
      <alignment horizontal="center" vertical="center"/>
    </xf>
    <xf numFmtId="169" fontId="20" fillId="0" borderId="0" xfId="0" applyNumberFormat="1" applyFont="1" applyFill="1" applyBorder="1" applyAlignment="1" applyProtection="1">
      <alignment horizontal="right" vertical="center"/>
    </xf>
    <xf numFmtId="169" fontId="0" fillId="0" borderId="0" xfId="0" applyNumberFormat="1" applyFill="1" applyBorder="1" applyAlignment="1" applyProtection="1">
      <alignment horizontal="center" vertical="center"/>
    </xf>
    <xf numFmtId="169" fontId="19" fillId="0" borderId="0" xfId="0" applyNumberFormat="1" applyFont="1" applyFill="1" applyBorder="1" applyAlignment="1" applyProtection="1">
      <alignment horizontal="center" vertical="center"/>
    </xf>
    <xf numFmtId="169" fontId="3" fillId="0" borderId="0" xfId="0" applyNumberFormat="1" applyFont="1" applyFill="1" applyBorder="1" applyAlignment="1" applyProtection="1">
      <alignment vertical="center"/>
    </xf>
    <xf numFmtId="0" fontId="9" fillId="0" borderId="41" xfId="0" applyFont="1" applyFill="1" applyBorder="1" applyAlignment="1" applyProtection="1">
      <alignment horizontal="left" vertical="center"/>
    </xf>
    <xf numFmtId="0" fontId="21" fillId="2" borderId="42" xfId="0" applyFont="1" applyFill="1" applyBorder="1" applyAlignment="1" applyProtection="1">
      <alignment horizontal="center" vertical="center"/>
    </xf>
    <xf numFmtId="169" fontId="0" fillId="0" borderId="42" xfId="0" applyNumberFormat="1" applyBorder="1" applyAlignment="1" applyProtection="1">
      <alignment horizontal="center" vertical="center"/>
    </xf>
    <xf numFmtId="0" fontId="21" fillId="2" borderId="41" xfId="0" applyFont="1" applyFill="1" applyBorder="1" applyAlignment="1" applyProtection="1">
      <alignment horizontal="center" vertical="center"/>
    </xf>
    <xf numFmtId="169" fontId="24" fillId="0" borderId="42" xfId="1" applyNumberFormat="1" applyFont="1" applyFill="1" applyBorder="1" applyAlignment="1" applyProtection="1">
      <alignment horizontal="center" vertical="center"/>
    </xf>
    <xf numFmtId="166" fontId="3" fillId="0" borderId="21" xfId="0" applyNumberFormat="1" applyFont="1" applyFill="1" applyBorder="1" applyAlignment="1" applyProtection="1">
      <alignment horizontal="center" vertical="center"/>
    </xf>
    <xf numFmtId="0" fontId="24" fillId="0" borderId="13" xfId="0" applyFont="1" applyBorder="1" applyAlignment="1" applyProtection="1">
      <alignment vertical="center"/>
    </xf>
    <xf numFmtId="0" fontId="24" fillId="0" borderId="0" xfId="0" applyFont="1" applyBorder="1" applyAlignment="1" applyProtection="1">
      <alignment vertical="center"/>
    </xf>
    <xf numFmtId="0" fontId="24" fillId="0" borderId="5" xfId="0" applyFont="1" applyBorder="1" applyAlignment="1" applyProtection="1">
      <alignment vertical="center"/>
    </xf>
    <xf numFmtId="0" fontId="2" fillId="0" borderId="0" xfId="0" applyFont="1" applyFill="1" applyBorder="1" applyAlignment="1" applyProtection="1">
      <alignment horizontal="right" vertical="center" wrapText="1"/>
    </xf>
    <xf numFmtId="0" fontId="9" fillId="0" borderId="0" xfId="0" applyFont="1" applyFill="1" applyBorder="1" applyAlignment="1" applyProtection="1">
      <alignment vertical="center"/>
    </xf>
    <xf numFmtId="171" fontId="21" fillId="0" borderId="0" xfId="0" applyNumberFormat="1" applyFont="1" applyFill="1" applyBorder="1" applyAlignment="1" applyProtection="1">
      <alignment horizontal="center" vertical="center"/>
    </xf>
    <xf numFmtId="168" fontId="24" fillId="0" borderId="0" xfId="0" applyNumberFormat="1" applyFont="1" applyFill="1" applyBorder="1" applyAlignment="1" applyProtection="1">
      <alignment horizontal="center" vertical="center"/>
    </xf>
    <xf numFmtId="0" fontId="24" fillId="0" borderId="0" xfId="0" applyFont="1" applyFill="1" applyBorder="1" applyAlignment="1" applyProtection="1">
      <alignment vertical="center"/>
    </xf>
    <xf numFmtId="166" fontId="21" fillId="0" borderId="0" xfId="0" applyNumberFormat="1" applyFont="1" applyFill="1" applyBorder="1" applyAlignment="1" applyProtection="1">
      <alignment vertical="center"/>
    </xf>
    <xf numFmtId="169" fontId="24" fillId="0" borderId="0" xfId="0" applyNumberFormat="1" applyFont="1" applyFill="1" applyBorder="1" applyAlignment="1" applyProtection="1">
      <alignment horizontal="center" vertical="center"/>
    </xf>
    <xf numFmtId="169" fontId="21" fillId="0" borderId="0" xfId="0" applyNumberFormat="1" applyFont="1" applyFill="1" applyBorder="1" applyAlignment="1" applyProtection="1">
      <alignment horizontal="center" vertical="center"/>
    </xf>
    <xf numFmtId="0" fontId="0" fillId="0" borderId="9" xfId="0" applyFill="1" applyBorder="1" applyAlignment="1" applyProtection="1">
      <alignment vertical="center"/>
    </xf>
    <xf numFmtId="165" fontId="21" fillId="0" borderId="33" xfId="0" applyNumberFormat="1" applyFont="1" applyBorder="1" applyAlignment="1" applyProtection="1">
      <alignment horizontal="center" vertical="center"/>
    </xf>
    <xf numFmtId="169" fontId="0" fillId="0" borderId="0" xfId="0" applyNumberFormat="1" applyBorder="1" applyAlignment="1" applyProtection="1">
      <alignment horizontal="center" vertical="center"/>
    </xf>
    <xf numFmtId="169" fontId="3" fillId="0" borderId="0" xfId="0" applyNumberFormat="1" applyFont="1" applyFill="1" applyBorder="1" applyAlignment="1" applyProtection="1">
      <alignment horizontal="center" vertical="center"/>
    </xf>
    <xf numFmtId="0" fontId="7" fillId="0" borderId="0" xfId="0" applyFont="1" applyBorder="1" applyAlignment="1" applyProtection="1">
      <alignment horizontal="center" vertical="center"/>
    </xf>
    <xf numFmtId="0" fontId="9" fillId="0" borderId="0" xfId="0" applyFont="1" applyFill="1" applyBorder="1" applyAlignment="1" applyProtection="1">
      <alignment horizontal="center" vertical="center"/>
    </xf>
    <xf numFmtId="167" fontId="0" fillId="0" borderId="0" xfId="0" applyNumberFormat="1" applyFill="1" applyBorder="1" applyAlignment="1" applyProtection="1">
      <alignment horizontal="center" vertical="center"/>
    </xf>
    <xf numFmtId="166" fontId="3" fillId="0" borderId="21" xfId="0" applyNumberFormat="1" applyFont="1" applyBorder="1" applyAlignment="1" applyProtection="1">
      <alignment horizontal="center" vertical="center"/>
    </xf>
    <xf numFmtId="169" fontId="3" fillId="0" borderId="23" xfId="0" applyNumberFormat="1" applyFont="1" applyBorder="1" applyAlignment="1" applyProtection="1">
      <alignment horizontal="center" vertical="center"/>
    </xf>
    <xf numFmtId="168" fontId="24" fillId="0" borderId="6" xfId="0" applyNumberFormat="1" applyFont="1" applyFill="1" applyBorder="1" applyAlignment="1" applyProtection="1">
      <alignment horizontal="center" vertical="center"/>
    </xf>
    <xf numFmtId="169" fontId="21" fillId="0" borderId="43" xfId="0" applyNumberFormat="1" applyFont="1" applyFill="1" applyBorder="1" applyAlignment="1" applyProtection="1">
      <alignment horizontal="center" vertical="center"/>
    </xf>
    <xf numFmtId="169" fontId="21" fillId="0" borderId="42" xfId="0" applyNumberFormat="1" applyFont="1" applyFill="1" applyBorder="1" applyAlignment="1" applyProtection="1">
      <alignment horizontal="center" vertical="center"/>
    </xf>
    <xf numFmtId="169" fontId="24" fillId="0" borderId="42" xfId="0" applyNumberFormat="1" applyFont="1" applyFill="1" applyBorder="1" applyAlignment="1" applyProtection="1">
      <alignment horizontal="center" vertical="center"/>
    </xf>
    <xf numFmtId="169" fontId="19" fillId="0" borderId="23" xfId="0" applyNumberFormat="1" applyFont="1" applyBorder="1" applyAlignment="1" applyProtection="1">
      <alignment horizontal="center" vertical="center"/>
    </xf>
    <xf numFmtId="0" fontId="4" fillId="0" borderId="22" xfId="0" applyFont="1" applyFill="1" applyBorder="1" applyAlignment="1" applyProtection="1">
      <alignment vertical="center"/>
    </xf>
    <xf numFmtId="4" fontId="0" fillId="0" borderId="32" xfId="0" applyNumberFormat="1" applyBorder="1" applyAlignment="1" applyProtection="1">
      <alignment vertical="center"/>
    </xf>
    <xf numFmtId="164" fontId="24" fillId="0" borderId="6" xfId="0" applyNumberFormat="1" applyFont="1" applyBorder="1" applyAlignment="1" applyProtection="1">
      <alignment vertical="center"/>
    </xf>
    <xf numFmtId="164" fontId="24" fillId="0" borderId="12" xfId="0" applyNumberFormat="1" applyFont="1" applyBorder="1" applyAlignment="1" applyProtection="1">
      <alignment vertical="center"/>
    </xf>
    <xf numFmtId="0" fontId="35" fillId="0" borderId="33" xfId="0" applyFont="1" applyBorder="1" applyAlignment="1" applyProtection="1">
      <alignment horizontal="center" vertical="center"/>
    </xf>
    <xf numFmtId="0" fontId="35" fillId="0" borderId="1" xfId="0" applyFont="1" applyBorder="1" applyAlignment="1" applyProtection="1">
      <alignment horizontal="center" vertical="center"/>
    </xf>
    <xf numFmtId="0" fontId="24" fillId="0" borderId="27" xfId="0" applyFont="1" applyFill="1" applyBorder="1" applyAlignment="1" applyProtection="1">
      <alignment horizontal="right" vertical="center"/>
    </xf>
    <xf numFmtId="164" fontId="24" fillId="0" borderId="0" xfId="0" applyNumberFormat="1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/>
    </xf>
    <xf numFmtId="0" fontId="24" fillId="0" borderId="7" xfId="0" applyFont="1" applyFill="1" applyBorder="1" applyAlignment="1" applyProtection="1">
      <alignment horizontal="right" vertical="center"/>
    </xf>
    <xf numFmtId="164" fontId="24" fillId="0" borderId="6" xfId="0" applyNumberFormat="1" applyFont="1" applyFill="1" applyBorder="1" applyAlignment="1" applyProtection="1">
      <alignment horizontal="center" vertical="center"/>
    </xf>
    <xf numFmtId="169" fontId="24" fillId="0" borderId="23" xfId="1" applyNumberFormat="1" applyFont="1" applyFill="1" applyBorder="1" applyAlignment="1" applyProtection="1">
      <alignment horizontal="center" vertical="center"/>
    </xf>
    <xf numFmtId="0" fontId="34" fillId="0" borderId="0" xfId="0" applyFont="1" applyFill="1" applyAlignment="1" applyProtection="1">
      <alignment vertical="center"/>
    </xf>
    <xf numFmtId="0" fontId="38" fillId="0" borderId="0" xfId="0" applyFont="1" applyFill="1" applyBorder="1" applyAlignment="1" applyProtection="1">
      <alignment vertical="center"/>
    </xf>
    <xf numFmtId="0" fontId="21" fillId="0" borderId="0" xfId="0" applyFont="1" applyFill="1" applyBorder="1" applyAlignment="1" applyProtection="1">
      <alignment horizontal="center" vertical="center" wrapText="1"/>
    </xf>
    <xf numFmtId="0" fontId="9" fillId="0" borderId="38" xfId="0" applyFont="1" applyFill="1" applyBorder="1" applyAlignment="1" applyProtection="1">
      <alignment vertical="center"/>
    </xf>
    <xf numFmtId="169" fontId="24" fillId="0" borderId="46" xfId="1" applyNumberFormat="1" applyFont="1" applyFill="1" applyBorder="1" applyAlignment="1" applyProtection="1">
      <alignment horizontal="center" vertical="center"/>
    </xf>
    <xf numFmtId="164" fontId="24" fillId="0" borderId="6" xfId="0" applyNumberFormat="1" applyFont="1" applyFill="1" applyBorder="1" applyAlignment="1" applyProtection="1">
      <alignment vertical="center"/>
    </xf>
    <xf numFmtId="164" fontId="24" fillId="0" borderId="12" xfId="0" applyNumberFormat="1" applyFont="1" applyFill="1" applyBorder="1" applyAlignment="1" applyProtection="1">
      <alignment vertical="center"/>
    </xf>
    <xf numFmtId="0" fontId="0" fillId="0" borderId="0" xfId="0" applyFill="1" applyBorder="1" applyAlignment="1" applyProtection="1">
      <alignment horizontal="left" vertical="center"/>
    </xf>
    <xf numFmtId="169" fontId="24" fillId="0" borderId="0" xfId="1" applyNumberFormat="1" applyFont="1" applyFill="1" applyBorder="1" applyAlignment="1" applyProtection="1">
      <alignment horizontal="left" vertical="center"/>
    </xf>
    <xf numFmtId="169" fontId="24" fillId="0" borderId="0" xfId="0" applyNumberFormat="1" applyFont="1" applyFill="1" applyBorder="1" applyAlignment="1" applyProtection="1">
      <alignment horizontal="left" vertical="center"/>
    </xf>
    <xf numFmtId="169" fontId="21" fillId="0" borderId="0" xfId="0" applyNumberFormat="1" applyFont="1" applyFill="1" applyBorder="1" applyAlignment="1" applyProtection="1">
      <alignment horizontal="left" vertical="center"/>
    </xf>
    <xf numFmtId="169" fontId="19" fillId="0" borderId="0" xfId="0" applyNumberFormat="1" applyFont="1" applyFill="1" applyBorder="1" applyAlignment="1" applyProtection="1">
      <alignment horizontal="left" vertical="center"/>
    </xf>
    <xf numFmtId="0" fontId="1" fillId="0" borderId="0" xfId="0" applyFont="1" applyFill="1" applyBorder="1" applyAlignment="1" applyProtection="1">
      <alignment horizontal="left" vertical="center"/>
    </xf>
    <xf numFmtId="167" fontId="0" fillId="0" borderId="0" xfId="0" applyNumberFormat="1" applyFill="1" applyBorder="1" applyAlignment="1" applyProtection="1">
      <alignment horizontal="left" vertical="center"/>
    </xf>
    <xf numFmtId="165" fontId="4" fillId="0" borderId="1" xfId="0" applyNumberFormat="1" applyFont="1" applyFill="1" applyBorder="1" applyAlignment="1" applyProtection="1">
      <alignment vertical="center"/>
    </xf>
    <xf numFmtId="171" fontId="4" fillId="0" borderId="1" xfId="0" applyNumberFormat="1" applyFont="1" applyFill="1" applyBorder="1" applyAlignment="1" applyProtection="1">
      <alignment vertical="center"/>
    </xf>
    <xf numFmtId="0" fontId="27" fillId="0" borderId="17" xfId="0" applyFont="1" applyFill="1" applyBorder="1" applyAlignment="1" applyProtection="1">
      <alignment horizontal="left" vertical="center"/>
    </xf>
    <xf numFmtId="169" fontId="0" fillId="0" borderId="7" xfId="0" applyNumberFormat="1" applyFill="1" applyBorder="1" applyAlignment="1" applyProtection="1">
      <alignment horizontal="left" vertical="center"/>
    </xf>
    <xf numFmtId="0" fontId="21" fillId="0" borderId="2" xfId="0" applyFont="1" applyFill="1" applyBorder="1" applyAlignment="1" applyProtection="1">
      <alignment horizontal="center" vertical="center"/>
    </xf>
    <xf numFmtId="169" fontId="0" fillId="0" borderId="2" xfId="0" applyNumberFormat="1" applyFill="1" applyBorder="1" applyAlignment="1" applyProtection="1">
      <alignment horizontal="left" vertical="center"/>
    </xf>
    <xf numFmtId="169" fontId="19" fillId="0" borderId="7" xfId="0" applyNumberFormat="1" applyFont="1" applyFill="1" applyBorder="1" applyAlignment="1" applyProtection="1">
      <alignment horizontal="center" vertical="center"/>
    </xf>
    <xf numFmtId="0" fontId="20" fillId="0" borderId="0" xfId="0" applyFont="1" applyBorder="1" applyAlignment="1" applyProtection="1">
      <alignment vertical="center"/>
    </xf>
    <xf numFmtId="169" fontId="7" fillId="0" borderId="21" xfId="0" applyNumberFormat="1" applyFont="1" applyBorder="1" applyAlignment="1" applyProtection="1">
      <alignment horizontal="right" vertical="center"/>
    </xf>
    <xf numFmtId="0" fontId="9" fillId="0" borderId="0" xfId="0" applyFont="1" applyFill="1" applyBorder="1" applyAlignment="1" applyProtection="1">
      <alignment horizontal="left" vertical="center"/>
    </xf>
    <xf numFmtId="0" fontId="25" fillId="0" borderId="0" xfId="0" applyFont="1" applyBorder="1" applyAlignment="1" applyProtection="1">
      <alignment horizontal="right" vertical="center"/>
    </xf>
    <xf numFmtId="0" fontId="4" fillId="0" borderId="0" xfId="0" applyFont="1" applyFill="1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25" fillId="0" borderId="1" xfId="0" applyFont="1" applyBorder="1" applyAlignment="1" applyProtection="1">
      <alignment horizontal="center" vertical="center"/>
    </xf>
    <xf numFmtId="0" fontId="25" fillId="0" borderId="0" xfId="0" applyFont="1" applyBorder="1" applyAlignment="1" applyProtection="1">
      <alignment horizontal="center" vertical="center"/>
    </xf>
    <xf numFmtId="169" fontId="21" fillId="0" borderId="43" xfId="0" applyNumberFormat="1" applyFont="1" applyBorder="1" applyAlignment="1" applyProtection="1">
      <alignment horizontal="center" vertical="center"/>
    </xf>
    <xf numFmtId="0" fontId="0" fillId="0" borderId="0" xfId="0" applyFill="1" applyAlignment="1" applyProtection="1">
      <alignment horizontal="center" vertical="center"/>
    </xf>
    <xf numFmtId="0" fontId="24" fillId="0" borderId="1" xfId="0" applyFont="1" applyBorder="1" applyAlignment="1" applyProtection="1">
      <alignment horizontal="right" vertical="center"/>
    </xf>
    <xf numFmtId="164" fontId="24" fillId="0" borderId="1" xfId="0" applyNumberFormat="1" applyFont="1" applyBorder="1" applyAlignment="1" applyProtection="1">
      <alignment vertical="center"/>
    </xf>
    <xf numFmtId="164" fontId="24" fillId="0" borderId="8" xfId="0" applyNumberFormat="1" applyFont="1" applyBorder="1" applyAlignment="1" applyProtection="1">
      <alignment vertical="center"/>
    </xf>
    <xf numFmtId="0" fontId="24" fillId="0" borderId="8" xfId="0" applyFont="1" applyBorder="1" applyAlignment="1" applyProtection="1">
      <alignment horizontal="right" vertical="center"/>
    </xf>
    <xf numFmtId="182" fontId="24" fillId="0" borderId="2" xfId="0" applyNumberFormat="1" applyFont="1" applyBorder="1" applyAlignment="1" applyProtection="1">
      <alignment vertical="center"/>
    </xf>
    <xf numFmtId="172" fontId="21" fillId="0" borderId="1" xfId="0" applyNumberFormat="1" applyFont="1" applyBorder="1" applyAlignment="1" applyProtection="1">
      <alignment horizontal="center" vertical="center"/>
    </xf>
    <xf numFmtId="169" fontId="21" fillId="0" borderId="42" xfId="0" applyNumberFormat="1" applyFont="1" applyBorder="1" applyAlignment="1" applyProtection="1">
      <alignment horizontal="center" vertical="center"/>
    </xf>
    <xf numFmtId="165" fontId="21" fillId="0" borderId="6" xfId="0" applyNumberFormat="1" applyFont="1" applyBorder="1" applyAlignment="1" applyProtection="1">
      <alignment horizontal="center" vertical="center"/>
    </xf>
    <xf numFmtId="0" fontId="4" fillId="0" borderId="18" xfId="0" applyFont="1" applyFill="1" applyBorder="1" applyAlignment="1" applyProtection="1">
      <alignment horizontal="center" vertical="center"/>
    </xf>
    <xf numFmtId="0" fontId="24" fillId="0" borderId="0" xfId="0" applyFont="1" applyBorder="1" applyAlignment="1" applyProtection="1">
      <alignment horizontal="center" vertical="center"/>
    </xf>
    <xf numFmtId="0" fontId="4" fillId="0" borderId="19" xfId="0" applyFont="1" applyFill="1" applyBorder="1" applyAlignment="1" applyProtection="1">
      <alignment horizontal="center" vertical="center"/>
    </xf>
    <xf numFmtId="164" fontId="24" fillId="0" borderId="6" xfId="0" applyNumberFormat="1" applyFont="1" applyBorder="1" applyAlignment="1" applyProtection="1">
      <alignment horizontal="center" vertical="center"/>
    </xf>
    <xf numFmtId="164" fontId="24" fillId="0" borderId="12" xfId="0" applyNumberFormat="1" applyFont="1" applyBorder="1" applyAlignment="1" applyProtection="1">
      <alignment horizontal="center" vertical="center"/>
    </xf>
    <xf numFmtId="0" fontId="21" fillId="0" borderId="0" xfId="0" applyFont="1" applyBorder="1" applyAlignment="1" applyProtection="1">
      <alignment horizontal="center" vertical="center"/>
    </xf>
    <xf numFmtId="0" fontId="0" fillId="0" borderId="20" xfId="0" applyBorder="1" applyAlignment="1" applyProtection="1">
      <alignment vertical="center"/>
    </xf>
    <xf numFmtId="0" fontId="0" fillId="0" borderId="33" xfId="0" applyBorder="1" applyAlignment="1" applyProtection="1">
      <alignment vertical="center"/>
    </xf>
    <xf numFmtId="0" fontId="0" fillId="0" borderId="20" xfId="0" applyFont="1" applyFill="1" applyBorder="1" applyAlignment="1" applyProtection="1">
      <alignment vertical="center"/>
    </xf>
    <xf numFmtId="0" fontId="0" fillId="0" borderId="33" xfId="0" applyFont="1" applyFill="1" applyBorder="1" applyAlignment="1" applyProtection="1">
      <alignment vertical="center"/>
    </xf>
    <xf numFmtId="0" fontId="4" fillId="0" borderId="11" xfId="0" applyFont="1" applyFill="1" applyBorder="1" applyAlignment="1" applyProtection="1">
      <alignment vertical="center"/>
    </xf>
    <xf numFmtId="0" fontId="0" fillId="0" borderId="4" xfId="0" applyFill="1" applyBorder="1" applyAlignment="1" applyProtection="1">
      <alignment vertical="center"/>
    </xf>
    <xf numFmtId="169" fontId="0" fillId="0" borderId="1" xfId="0" applyNumberFormat="1" applyFill="1" applyBorder="1" applyAlignment="1" applyProtection="1">
      <alignment horizontal="center" vertical="center"/>
    </xf>
    <xf numFmtId="0" fontId="25" fillId="0" borderId="14" xfId="0" applyFont="1" applyBorder="1" applyAlignment="1" applyProtection="1">
      <alignment vertical="center"/>
    </xf>
    <xf numFmtId="0" fontId="25" fillId="0" borderId="9" xfId="0" applyFont="1" applyBorder="1" applyAlignment="1" applyProtection="1">
      <alignment horizontal="left" vertical="center"/>
    </xf>
    <xf numFmtId="0" fontId="25" fillId="0" borderId="9" xfId="0" applyFont="1" applyFill="1" applyBorder="1" applyAlignment="1" applyProtection="1">
      <alignment vertical="center"/>
    </xf>
    <xf numFmtId="0" fontId="25" fillId="0" borderId="21" xfId="0" applyFont="1" applyBorder="1" applyAlignment="1" applyProtection="1">
      <alignment horizontal="center" vertical="center"/>
    </xf>
    <xf numFmtId="181" fontId="20" fillId="0" borderId="21" xfId="0" applyNumberFormat="1" applyFont="1" applyFill="1" applyBorder="1" applyAlignment="1" applyProtection="1">
      <alignment horizontal="center" vertical="center"/>
    </xf>
    <xf numFmtId="0" fontId="27" fillId="0" borderId="17" xfId="0" applyFont="1" applyFill="1" applyBorder="1" applyAlignment="1" applyProtection="1">
      <alignment horizontal="right" vertical="center"/>
    </xf>
    <xf numFmtId="169" fontId="3" fillId="0" borderId="7" xfId="0" applyNumberFormat="1" applyFont="1" applyFill="1" applyBorder="1" applyAlignment="1" applyProtection="1">
      <alignment horizontal="left" vertical="center"/>
    </xf>
    <xf numFmtId="166" fontId="0" fillId="0" borderId="34" xfId="0" applyNumberFormat="1" applyBorder="1" applyAlignment="1" applyProtection="1">
      <alignment horizontal="center" vertical="center"/>
    </xf>
    <xf numFmtId="169" fontId="3" fillId="0" borderId="7" xfId="0" applyNumberFormat="1" applyFont="1" applyFill="1" applyBorder="1" applyAlignment="1" applyProtection="1">
      <alignment horizontal="center" vertical="center"/>
    </xf>
    <xf numFmtId="180" fontId="27" fillId="0" borderId="28" xfId="0" applyNumberFormat="1" applyFont="1" applyBorder="1" applyAlignment="1" applyProtection="1">
      <alignment horizontal="center"/>
    </xf>
    <xf numFmtId="180" fontId="27" fillId="0" borderId="28" xfId="0" applyNumberFormat="1" applyFont="1" applyBorder="1" applyAlignment="1" applyProtection="1">
      <alignment horizontal="center" vertical="center"/>
    </xf>
    <xf numFmtId="0" fontId="27" fillId="0" borderId="28" xfId="0" applyFont="1" applyFill="1" applyBorder="1" applyAlignment="1" applyProtection="1">
      <alignment horizontal="center"/>
    </xf>
    <xf numFmtId="0" fontId="27" fillId="0" borderId="29" xfId="0" applyFont="1" applyFill="1" applyBorder="1" applyAlignment="1" applyProtection="1">
      <alignment horizontal="center"/>
    </xf>
    <xf numFmtId="0" fontId="27" fillId="0" borderId="0" xfId="0" applyFont="1" applyFill="1" applyBorder="1" applyAlignment="1" applyProtection="1">
      <alignment vertical="center"/>
    </xf>
    <xf numFmtId="180" fontId="27" fillId="0" borderId="29" xfId="0" applyNumberFormat="1" applyFont="1" applyBorder="1" applyAlignment="1" applyProtection="1">
      <alignment horizontal="center" vertical="center"/>
    </xf>
    <xf numFmtId="0" fontId="27" fillId="0" borderId="29" xfId="0" applyFont="1" applyBorder="1" applyAlignment="1" applyProtection="1">
      <alignment horizontal="center"/>
    </xf>
    <xf numFmtId="0" fontId="0" fillId="0" borderId="0" xfId="0" applyBorder="1" applyAlignment="1" applyProtection="1">
      <alignment vertical="center"/>
      <protection locked="0"/>
    </xf>
    <xf numFmtId="0" fontId="14" fillId="0" borderId="1" xfId="0" applyFont="1" applyFill="1" applyBorder="1" applyAlignment="1" applyProtection="1">
      <alignment horizontal="center" vertical="center" wrapText="1"/>
    </xf>
    <xf numFmtId="169" fontId="21" fillId="0" borderId="42" xfId="0" applyNumberFormat="1" applyFont="1" applyBorder="1" applyAlignment="1" applyProtection="1">
      <alignment horizontal="center" vertical="center"/>
    </xf>
    <xf numFmtId="0" fontId="12" fillId="0" borderId="15" xfId="0" applyFont="1" applyFill="1" applyBorder="1" applyAlignment="1" applyProtection="1">
      <alignment horizontal="center" vertical="center" wrapText="1"/>
    </xf>
    <xf numFmtId="0" fontId="12" fillId="0" borderId="40" xfId="0" applyFont="1" applyFill="1" applyBorder="1" applyAlignment="1" applyProtection="1">
      <alignment horizontal="center" vertical="center" wrapText="1"/>
    </xf>
    <xf numFmtId="0" fontId="12" fillId="0" borderId="16" xfId="0" applyFont="1" applyFill="1" applyBorder="1" applyAlignment="1" applyProtection="1">
      <alignment horizontal="center" vertical="center" wrapText="1"/>
    </xf>
    <xf numFmtId="0" fontId="13" fillId="0" borderId="15" xfId="0" applyFont="1" applyFill="1" applyBorder="1" applyAlignment="1" applyProtection="1">
      <alignment horizontal="center" vertical="center" wrapText="1"/>
    </xf>
    <xf numFmtId="0" fontId="13" fillId="0" borderId="40" xfId="0" applyFont="1" applyFill="1" applyBorder="1" applyAlignment="1" applyProtection="1">
      <alignment horizontal="center" vertical="center" wrapText="1"/>
    </xf>
    <xf numFmtId="0" fontId="13" fillId="0" borderId="16" xfId="0" applyFont="1" applyFill="1" applyBorder="1" applyAlignment="1" applyProtection="1">
      <alignment horizontal="center" vertical="center" wrapText="1"/>
    </xf>
    <xf numFmtId="0" fontId="12" fillId="0" borderId="15" xfId="0" applyFont="1" applyFill="1" applyBorder="1" applyAlignment="1" applyProtection="1">
      <alignment horizontal="center" vertical="center"/>
    </xf>
    <xf numFmtId="0" fontId="12" fillId="0" borderId="40" xfId="0" applyFont="1" applyFill="1" applyBorder="1" applyAlignment="1" applyProtection="1">
      <alignment horizontal="center" vertical="center"/>
    </xf>
    <xf numFmtId="0" fontId="12" fillId="0" borderId="16" xfId="0" applyFont="1" applyFill="1" applyBorder="1" applyAlignment="1" applyProtection="1">
      <alignment horizontal="center" vertical="center"/>
    </xf>
    <xf numFmtId="0" fontId="12" fillId="0" borderId="15" xfId="0" applyFont="1" applyFill="1" applyBorder="1" applyAlignment="1">
      <alignment horizontal="center" vertical="center" wrapText="1"/>
    </xf>
    <xf numFmtId="0" fontId="12" fillId="0" borderId="16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/>
    </xf>
    <xf numFmtId="0" fontId="13" fillId="0" borderId="1" xfId="0" applyFont="1" applyFill="1" applyBorder="1" applyAlignment="1" applyProtection="1">
      <alignment horizontal="center" vertical="center" wrapText="1"/>
    </xf>
    <xf numFmtId="0" fontId="12" fillId="0" borderId="1" xfId="0" applyFont="1" applyBorder="1" applyAlignment="1" applyProtection="1">
      <alignment horizontal="center" vertical="center" wrapText="1"/>
    </xf>
    <xf numFmtId="0" fontId="12" fillId="0" borderId="1" xfId="0" applyFont="1" applyBorder="1" applyAlignment="1" applyProtection="1">
      <alignment horizontal="center" vertical="center"/>
    </xf>
    <xf numFmtId="0" fontId="13" fillId="4" borderId="1" xfId="0" applyFont="1" applyFill="1" applyBorder="1" applyAlignment="1" applyProtection="1">
      <alignment horizontal="center" vertical="center" wrapText="1"/>
    </xf>
    <xf numFmtId="0" fontId="13" fillId="0" borderId="1" xfId="0" applyFont="1" applyFill="1" applyBorder="1" applyAlignment="1" applyProtection="1">
      <alignment vertical="center" wrapText="1"/>
    </xf>
    <xf numFmtId="0" fontId="12" fillId="0" borderId="1" xfId="0" applyFont="1" applyBorder="1" applyProtection="1"/>
    <xf numFmtId="0" fontId="12" fillId="0" borderId="15" xfId="0" applyFont="1" applyBorder="1" applyAlignment="1" applyProtection="1">
      <alignment horizontal="center" vertical="center"/>
    </xf>
    <xf numFmtId="0" fontId="13" fillId="4" borderId="1" xfId="0" applyFont="1" applyFill="1" applyBorder="1" applyAlignment="1" applyProtection="1">
      <alignment vertical="center" wrapText="1"/>
    </xf>
    <xf numFmtId="0" fontId="12" fillId="5" borderId="1" xfId="0" applyFont="1" applyFill="1" applyBorder="1" applyAlignment="1" applyProtection="1"/>
    <xf numFmtId="0" fontId="12" fillId="5" borderId="1" xfId="0" applyFont="1" applyFill="1" applyBorder="1" applyAlignment="1" applyProtection="1">
      <alignment horizontal="left" indent="3"/>
    </xf>
    <xf numFmtId="0" fontId="13" fillId="3" borderId="1" xfId="0" applyFont="1" applyFill="1" applyBorder="1" applyAlignment="1" applyProtection="1">
      <alignment vertical="center"/>
    </xf>
    <xf numFmtId="165" fontId="0" fillId="0" borderId="1" xfId="0" applyNumberFormat="1" applyFill="1" applyBorder="1" applyAlignment="1" applyProtection="1">
      <alignment horizontal="center" vertical="center"/>
    </xf>
    <xf numFmtId="166" fontId="0" fillId="0" borderId="6" xfId="0" applyNumberFormat="1" applyBorder="1" applyAlignment="1" applyProtection="1">
      <alignment horizontal="center" vertical="center"/>
    </xf>
    <xf numFmtId="165" fontId="21" fillId="0" borderId="6" xfId="0" applyNumberFormat="1" applyFont="1" applyFill="1" applyBorder="1" applyAlignment="1" applyProtection="1">
      <alignment horizontal="center" vertical="center"/>
    </xf>
    <xf numFmtId="164" fontId="0" fillId="0" borderId="1" xfId="0" applyNumberFormat="1" applyBorder="1" applyAlignment="1" applyProtection="1">
      <alignment horizontal="center" vertical="center"/>
    </xf>
    <xf numFmtId="0" fontId="21" fillId="2" borderId="2" xfId="0" applyFont="1" applyFill="1" applyBorder="1" applyAlignment="1" applyProtection="1">
      <alignment horizontal="center" vertical="center"/>
    </xf>
    <xf numFmtId="0" fontId="21" fillId="2" borderId="1" xfId="0" applyFont="1" applyFill="1" applyBorder="1" applyAlignment="1" applyProtection="1">
      <alignment horizontal="center" vertical="center"/>
    </xf>
    <xf numFmtId="0" fontId="9" fillId="0" borderId="17" xfId="0" applyFont="1" applyFill="1" applyBorder="1" applyAlignment="1" applyProtection="1">
      <alignment horizontal="left" vertical="center"/>
    </xf>
    <xf numFmtId="0" fontId="9" fillId="0" borderId="0" xfId="0" applyFont="1" applyFill="1" applyBorder="1" applyAlignment="1" applyProtection="1">
      <alignment horizontal="left" vertical="center"/>
    </xf>
    <xf numFmtId="164" fontId="21" fillId="0" borderId="1" xfId="0" applyNumberFormat="1" applyFont="1" applyBorder="1" applyAlignment="1" applyProtection="1">
      <alignment horizontal="center" vertical="center"/>
    </xf>
    <xf numFmtId="0" fontId="21" fillId="2" borderId="33" xfId="0" applyFont="1" applyFill="1" applyBorder="1" applyAlignment="1" applyProtection="1">
      <alignment horizontal="center" vertical="center"/>
    </xf>
    <xf numFmtId="166" fontId="0" fillId="0" borderId="34" xfId="0" applyNumberFormat="1" applyFill="1" applyBorder="1" applyAlignment="1" applyProtection="1">
      <alignment horizontal="center" vertical="center"/>
    </xf>
    <xf numFmtId="0" fontId="9" fillId="0" borderId="13" xfId="0" applyFont="1" applyFill="1" applyBorder="1" applyAlignment="1" applyProtection="1">
      <alignment horizontal="left" vertical="center"/>
    </xf>
    <xf numFmtId="0" fontId="24" fillId="0" borderId="2" xfId="0" applyFont="1" applyFill="1" applyBorder="1" applyAlignment="1" applyProtection="1">
      <alignment vertical="center"/>
    </xf>
    <xf numFmtId="0" fontId="20" fillId="0" borderId="0" xfId="0" applyFont="1" applyBorder="1" applyAlignment="1" applyProtection="1">
      <alignment vertical="center"/>
    </xf>
    <xf numFmtId="165" fontId="21" fillId="0" borderId="1" xfId="0" applyNumberFormat="1" applyFont="1" applyBorder="1" applyAlignment="1" applyProtection="1">
      <alignment horizontal="center" vertical="center"/>
    </xf>
    <xf numFmtId="169" fontId="21" fillId="0" borderId="2" xfId="0" applyNumberFormat="1" applyFont="1" applyFill="1" applyBorder="1" applyAlignment="1" applyProtection="1">
      <alignment horizontal="left" vertical="center"/>
    </xf>
    <xf numFmtId="0" fontId="21" fillId="2" borderId="2" xfId="0" applyFont="1" applyFill="1" applyBorder="1" applyAlignment="1" applyProtection="1">
      <alignment horizontal="center" vertical="center"/>
    </xf>
    <xf numFmtId="0" fontId="21" fillId="2" borderId="1" xfId="0" applyFont="1" applyFill="1" applyBorder="1" applyAlignment="1" applyProtection="1">
      <alignment horizontal="center" vertical="center"/>
    </xf>
    <xf numFmtId="0" fontId="9" fillId="0" borderId="17" xfId="0" applyFont="1" applyFill="1" applyBorder="1" applyAlignment="1" applyProtection="1">
      <alignment horizontal="left" vertical="center"/>
    </xf>
    <xf numFmtId="0" fontId="9" fillId="0" borderId="18" xfId="0" applyFont="1" applyFill="1" applyBorder="1" applyAlignment="1" applyProtection="1">
      <alignment horizontal="left" vertical="center"/>
    </xf>
    <xf numFmtId="0" fontId="9" fillId="0" borderId="19" xfId="0" applyFont="1" applyFill="1" applyBorder="1" applyAlignment="1" applyProtection="1">
      <alignment horizontal="left" vertical="center"/>
    </xf>
    <xf numFmtId="0" fontId="9" fillId="0" borderId="0" xfId="0" applyFont="1" applyFill="1" applyBorder="1" applyAlignment="1" applyProtection="1">
      <alignment horizontal="left" vertical="center"/>
    </xf>
    <xf numFmtId="164" fontId="21" fillId="0" borderId="1" xfId="0" applyNumberFormat="1" applyFont="1" applyBorder="1" applyAlignment="1" applyProtection="1">
      <alignment horizontal="center" vertical="center"/>
    </xf>
    <xf numFmtId="0" fontId="21" fillId="0" borderId="2" xfId="0" applyFont="1" applyBorder="1" applyAlignment="1" applyProtection="1">
      <alignment vertical="center"/>
    </xf>
    <xf numFmtId="0" fontId="21" fillId="0" borderId="1" xfId="0" applyFont="1" applyBorder="1" applyAlignment="1" applyProtection="1">
      <alignment vertical="center"/>
    </xf>
    <xf numFmtId="165" fontId="0" fillId="0" borderId="1" xfId="0" applyNumberFormat="1" applyFill="1" applyBorder="1" applyAlignment="1" applyProtection="1">
      <alignment horizontal="center" vertical="center"/>
    </xf>
    <xf numFmtId="166" fontId="0" fillId="0" borderId="6" xfId="0" applyNumberFormat="1" applyBorder="1" applyAlignment="1" applyProtection="1">
      <alignment horizontal="center" vertical="center"/>
    </xf>
    <xf numFmtId="165" fontId="21" fillId="0" borderId="6" xfId="0" applyNumberFormat="1" applyFont="1" applyFill="1" applyBorder="1" applyAlignment="1" applyProtection="1">
      <alignment horizontal="center" vertical="center"/>
    </xf>
    <xf numFmtId="169" fontId="21" fillId="0" borderId="42" xfId="0" applyNumberFormat="1" applyFont="1" applyBorder="1" applyAlignment="1" applyProtection="1">
      <alignment horizontal="center" vertical="center"/>
    </xf>
    <xf numFmtId="166" fontId="0" fillId="0" borderId="6" xfId="0" applyNumberFormat="1" applyFill="1" applyBorder="1" applyAlignment="1" applyProtection="1">
      <alignment horizontal="center" vertical="center"/>
    </xf>
    <xf numFmtId="0" fontId="21" fillId="0" borderId="2" xfId="0" applyFont="1" applyFill="1" applyBorder="1" applyAlignment="1" applyProtection="1">
      <alignment horizontal="left" vertical="center"/>
    </xf>
    <xf numFmtId="166" fontId="0" fillId="0" borderId="34" xfId="0" applyNumberFormat="1" applyFill="1" applyBorder="1" applyAlignment="1" applyProtection="1">
      <alignment horizontal="center" vertical="center"/>
    </xf>
    <xf numFmtId="0" fontId="21" fillId="2" borderId="33" xfId="0" applyFont="1" applyFill="1" applyBorder="1" applyAlignment="1" applyProtection="1">
      <alignment horizontal="center" vertical="center"/>
    </xf>
    <xf numFmtId="0" fontId="9" fillId="0" borderId="3" xfId="0" applyFont="1" applyFill="1" applyBorder="1" applyAlignment="1" applyProtection="1">
      <alignment horizontal="left" vertical="center"/>
    </xf>
    <xf numFmtId="0" fontId="9" fillId="0" borderId="13" xfId="0" applyFont="1" applyFill="1" applyBorder="1" applyAlignment="1" applyProtection="1">
      <alignment horizontal="left" vertical="center"/>
    </xf>
    <xf numFmtId="0" fontId="20" fillId="0" borderId="0" xfId="0" applyFont="1" applyBorder="1" applyAlignment="1" applyProtection="1">
      <alignment vertical="center"/>
    </xf>
    <xf numFmtId="0" fontId="24" fillId="0" borderId="2" xfId="0" applyFont="1" applyFill="1" applyBorder="1" applyAlignment="1" applyProtection="1">
      <alignment vertical="center"/>
    </xf>
    <xf numFmtId="165" fontId="21" fillId="0" borderId="1" xfId="0" applyNumberFormat="1" applyFont="1" applyBorder="1" applyAlignment="1" applyProtection="1">
      <alignment horizontal="center" vertical="center"/>
    </xf>
    <xf numFmtId="169" fontId="21" fillId="0" borderId="6" xfId="0" applyNumberFormat="1" applyFont="1" applyBorder="1" applyAlignment="1" applyProtection="1">
      <alignment horizontal="center" vertical="center"/>
    </xf>
    <xf numFmtId="169" fontId="21" fillId="0" borderId="43" xfId="0" applyNumberFormat="1" applyFont="1" applyBorder="1" applyAlignment="1" applyProtection="1">
      <alignment horizontal="center" vertical="center"/>
    </xf>
    <xf numFmtId="165" fontId="21" fillId="0" borderId="34" xfId="0" applyNumberFormat="1" applyFont="1" applyBorder="1" applyAlignment="1" applyProtection="1">
      <alignment horizontal="center" vertical="center"/>
    </xf>
    <xf numFmtId="169" fontId="21" fillId="0" borderId="2" xfId="0" applyNumberFormat="1" applyFont="1" applyFill="1" applyBorder="1" applyAlignment="1" applyProtection="1">
      <alignment horizontal="left" vertical="center"/>
    </xf>
    <xf numFmtId="0" fontId="0" fillId="0" borderId="0" xfId="0" applyFill="1" applyBorder="1" applyAlignment="1" applyProtection="1">
      <alignment vertical="center"/>
      <protection locked="0"/>
    </xf>
    <xf numFmtId="0" fontId="4" fillId="10" borderId="0" xfId="0" applyFont="1" applyFill="1" applyAlignment="1" applyProtection="1">
      <alignment vertical="center"/>
    </xf>
    <xf numFmtId="0" fontId="4" fillId="6" borderId="0" xfId="0" applyFont="1" applyFill="1" applyBorder="1" applyAlignment="1" applyProtection="1">
      <alignment vertical="center"/>
    </xf>
    <xf numFmtId="166" fontId="0" fillId="0" borderId="0" xfId="0" applyNumberFormat="1" applyBorder="1" applyAlignment="1" applyProtection="1">
      <alignment horizontal="center" vertical="center"/>
    </xf>
    <xf numFmtId="169" fontId="19" fillId="0" borderId="0" xfId="0" applyNumberFormat="1" applyFont="1" applyBorder="1" applyAlignment="1" applyProtection="1">
      <alignment horizontal="center" vertical="center"/>
    </xf>
    <xf numFmtId="166" fontId="0" fillId="0" borderId="0" xfId="0" applyNumberFormat="1" applyFill="1" applyBorder="1" applyAlignment="1" applyProtection="1">
      <alignment horizontal="center" vertical="center"/>
    </xf>
    <xf numFmtId="166" fontId="3" fillId="0" borderId="0" xfId="0" applyNumberFormat="1" applyFont="1" applyFill="1" applyBorder="1" applyAlignment="1" applyProtection="1">
      <alignment horizontal="center" vertical="center"/>
    </xf>
    <xf numFmtId="164" fontId="21" fillId="0" borderId="0" xfId="0" applyNumberFormat="1" applyFont="1" applyFill="1" applyBorder="1" applyAlignment="1" applyProtection="1">
      <alignment horizontal="center" vertical="center"/>
    </xf>
    <xf numFmtId="0" fontId="32" fillId="0" borderId="0" xfId="0" applyFont="1" applyFill="1" applyBorder="1" applyAlignment="1" applyProtection="1">
      <alignment horizontal="center" vertical="center" wrapText="1"/>
    </xf>
    <xf numFmtId="164" fontId="0" fillId="0" borderId="0" xfId="0" applyNumberFormat="1" applyFill="1" applyBorder="1" applyAlignment="1" applyProtection="1">
      <alignment horizontal="center" vertical="center"/>
    </xf>
    <xf numFmtId="169" fontId="21" fillId="0" borderId="0" xfId="0" applyNumberFormat="1" applyFont="1" applyFill="1" applyBorder="1" applyAlignment="1" applyProtection="1">
      <alignment vertical="center"/>
    </xf>
    <xf numFmtId="0" fontId="21" fillId="0" borderId="36" xfId="0" applyFont="1" applyBorder="1" applyAlignment="1" applyProtection="1">
      <alignment horizontal="center" vertical="center"/>
    </xf>
    <xf numFmtId="165" fontId="24" fillId="0" borderId="12" xfId="0" applyNumberFormat="1" applyFont="1" applyFill="1" applyBorder="1" applyAlignment="1" applyProtection="1">
      <alignment horizontal="center" vertical="center"/>
    </xf>
    <xf numFmtId="180" fontId="27" fillId="0" borderId="26" xfId="0" applyNumberFormat="1" applyFont="1" applyBorder="1" applyAlignment="1" applyProtection="1">
      <alignment horizontal="center" vertical="center"/>
    </xf>
    <xf numFmtId="1" fontId="9" fillId="0" borderId="0" xfId="0" applyNumberFormat="1" applyFont="1" applyFill="1" applyBorder="1" applyAlignment="1" applyProtection="1">
      <alignment horizontal="center" vertical="center"/>
    </xf>
    <xf numFmtId="1" fontId="21" fillId="0" borderId="0" xfId="0" applyNumberFormat="1" applyFont="1" applyFill="1" applyBorder="1" applyAlignment="1" applyProtection="1">
      <alignment horizontal="center" vertical="center" wrapText="1"/>
    </xf>
    <xf numFmtId="1" fontId="0" fillId="0" borderId="0" xfId="0" applyNumberFormat="1" applyFill="1" applyBorder="1" applyAlignment="1" applyProtection="1">
      <alignment horizontal="center" vertical="center"/>
    </xf>
    <xf numFmtId="1" fontId="19" fillId="0" borderId="0" xfId="0" applyNumberFormat="1" applyFont="1" applyFill="1" applyBorder="1" applyAlignment="1" applyProtection="1">
      <alignment horizontal="center" vertical="center"/>
    </xf>
    <xf numFmtId="165" fontId="24" fillId="0" borderId="34" xfId="1" applyNumberFormat="1" applyFont="1" applyFill="1" applyBorder="1" applyAlignment="1" applyProtection="1">
      <alignment horizontal="center" vertical="center"/>
    </xf>
    <xf numFmtId="169" fontId="24" fillId="0" borderId="43" xfId="1" applyNumberFormat="1" applyFont="1" applyFill="1" applyBorder="1" applyAlignment="1" applyProtection="1">
      <alignment horizontal="center" vertical="center"/>
    </xf>
    <xf numFmtId="169" fontId="3" fillId="0" borderId="46" xfId="0" applyNumberFormat="1" applyFont="1" applyBorder="1" applyAlignment="1" applyProtection="1">
      <alignment horizontal="center" vertical="center"/>
    </xf>
    <xf numFmtId="0" fontId="24" fillId="0" borderId="48" xfId="0" applyFont="1" applyBorder="1" applyAlignment="1" applyProtection="1">
      <alignment vertical="center"/>
    </xf>
    <xf numFmtId="0" fontId="21" fillId="0" borderId="48" xfId="0" applyFont="1" applyBorder="1" applyAlignment="1" applyProtection="1">
      <alignment vertical="center"/>
    </xf>
    <xf numFmtId="0" fontId="24" fillId="0" borderId="48" xfId="0" applyFont="1" applyFill="1" applyBorder="1" applyAlignment="1" applyProtection="1">
      <alignment vertical="center"/>
    </xf>
    <xf numFmtId="182" fontId="24" fillId="0" borderId="48" xfId="0" applyNumberFormat="1" applyFont="1" applyBorder="1" applyAlignment="1" applyProtection="1">
      <alignment vertical="center"/>
    </xf>
    <xf numFmtId="0" fontId="21" fillId="0" borderId="8" xfId="0" applyFont="1" applyBorder="1" applyAlignment="1" applyProtection="1">
      <alignment horizontal="center" vertical="center"/>
    </xf>
    <xf numFmtId="1" fontId="21" fillId="0" borderId="0" xfId="0" applyNumberFormat="1" applyFont="1" applyFill="1" applyBorder="1" applyAlignment="1" applyProtection="1">
      <alignment horizontal="center" vertical="center"/>
    </xf>
    <xf numFmtId="1" fontId="3" fillId="0" borderId="0" xfId="0" applyNumberFormat="1" applyFont="1" applyFill="1" applyBorder="1" applyAlignment="1" applyProtection="1">
      <alignment horizontal="center" vertical="center"/>
    </xf>
    <xf numFmtId="0" fontId="21" fillId="0" borderId="15" xfId="0" applyFont="1" applyBorder="1" applyAlignment="1" applyProtection="1">
      <alignment horizontal="center" vertical="center"/>
    </xf>
    <xf numFmtId="166" fontId="0" fillId="0" borderId="9" xfId="0" applyNumberFormat="1" applyFill="1" applyBorder="1" applyAlignment="1" applyProtection="1">
      <alignment vertical="center"/>
    </xf>
    <xf numFmtId="0" fontId="21" fillId="0" borderId="9" xfId="0" applyFont="1" applyBorder="1" applyAlignment="1" applyProtection="1">
      <alignment vertical="center"/>
    </xf>
    <xf numFmtId="1" fontId="1" fillId="0" borderId="0" xfId="0" applyNumberFormat="1" applyFont="1" applyFill="1" applyBorder="1" applyAlignment="1" applyProtection="1">
      <alignment horizontal="center" vertical="center"/>
    </xf>
    <xf numFmtId="1" fontId="22" fillId="0" borderId="0" xfId="0" applyNumberFormat="1" applyFont="1" applyFill="1" applyBorder="1" applyAlignment="1" applyProtection="1">
      <alignment horizontal="center" vertical="center"/>
    </xf>
    <xf numFmtId="0" fontId="35" fillId="0" borderId="15" xfId="0" applyFont="1" applyBorder="1" applyAlignment="1" applyProtection="1">
      <alignment horizontal="center" vertical="center"/>
    </xf>
    <xf numFmtId="165" fontId="21" fillId="0" borderId="0" xfId="0" applyNumberFormat="1" applyFont="1" applyFill="1" applyBorder="1" applyAlignment="1" applyProtection="1">
      <alignment vertical="center"/>
    </xf>
    <xf numFmtId="164" fontId="21" fillId="0" borderId="0" xfId="0" applyNumberFormat="1" applyFont="1" applyFill="1" applyBorder="1" applyAlignment="1" applyProtection="1">
      <alignment vertical="center"/>
    </xf>
    <xf numFmtId="0" fontId="12" fillId="0" borderId="1" xfId="0" applyFont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/>
    </xf>
    <xf numFmtId="0" fontId="0" fillId="0" borderId="51" xfId="0" applyBorder="1" applyAlignment="1" applyProtection="1">
      <alignment horizontal="center" vertical="center" wrapText="1"/>
    </xf>
    <xf numFmtId="0" fontId="0" fillId="0" borderId="23" xfId="0" applyBorder="1" applyAlignment="1" applyProtection="1">
      <alignment horizontal="center" vertical="center" wrapText="1"/>
    </xf>
    <xf numFmtId="0" fontId="4" fillId="0" borderId="1" xfId="0" applyFont="1" applyBorder="1" applyAlignment="1" applyProtection="1">
      <alignment horizontal="center" vertical="center"/>
    </xf>
    <xf numFmtId="0" fontId="4" fillId="0" borderId="1" xfId="0" applyFont="1" applyFill="1" applyBorder="1" applyAlignment="1" applyProtection="1">
      <alignment horizontal="center" vertical="center"/>
    </xf>
    <xf numFmtId="0" fontId="20" fillId="0" borderId="0" xfId="0" applyFont="1" applyBorder="1" applyAlignment="1" applyProtection="1">
      <alignment horizontal="right" vertical="center"/>
    </xf>
    <xf numFmtId="0" fontId="9" fillId="0" borderId="52" xfId="0" applyFont="1" applyFill="1" applyBorder="1" applyAlignment="1" applyProtection="1">
      <alignment horizontal="left" vertical="center"/>
    </xf>
    <xf numFmtId="0" fontId="9" fillId="0" borderId="37" xfId="0" applyFont="1" applyFill="1" applyBorder="1" applyAlignment="1" applyProtection="1">
      <alignment horizontal="left" vertical="center"/>
    </xf>
    <xf numFmtId="0" fontId="9" fillId="0" borderId="38" xfId="0" applyFont="1" applyFill="1" applyBorder="1" applyAlignment="1" applyProtection="1">
      <alignment horizontal="left" vertical="center"/>
    </xf>
    <xf numFmtId="169" fontId="21" fillId="0" borderId="42" xfId="0" applyNumberFormat="1" applyFont="1" applyBorder="1" applyAlignment="1" applyProtection="1">
      <alignment horizontal="center" vertical="center"/>
    </xf>
    <xf numFmtId="165" fontId="0" fillId="0" borderId="1" xfId="0" applyNumberFormat="1" applyFill="1" applyBorder="1" applyAlignment="1" applyProtection="1">
      <alignment horizontal="center" vertical="center"/>
    </xf>
    <xf numFmtId="169" fontId="36" fillId="0" borderId="0" xfId="0" applyNumberFormat="1" applyFont="1" applyFill="1" applyBorder="1" applyAlignment="1" applyProtection="1">
      <alignment horizontal="center" wrapText="1"/>
    </xf>
    <xf numFmtId="0" fontId="21" fillId="0" borderId="2" xfId="0" applyFont="1" applyFill="1" applyBorder="1" applyAlignment="1" applyProtection="1">
      <alignment vertical="center"/>
    </xf>
    <xf numFmtId="0" fontId="21" fillId="0" borderId="1" xfId="0" applyFont="1" applyFill="1" applyBorder="1" applyAlignment="1" applyProtection="1">
      <alignment vertical="center"/>
    </xf>
    <xf numFmtId="0" fontId="21" fillId="0" borderId="2" xfId="0" applyFont="1" applyBorder="1" applyAlignment="1" applyProtection="1">
      <alignment horizontal="left" vertical="center"/>
    </xf>
    <xf numFmtId="0" fontId="21" fillId="0" borderId="1" xfId="0" applyFont="1" applyBorder="1" applyAlignment="1" applyProtection="1">
      <alignment horizontal="left" vertical="center"/>
    </xf>
    <xf numFmtId="166" fontId="21" fillId="0" borderId="2" xfId="0" applyNumberFormat="1" applyFont="1" applyBorder="1" applyAlignment="1" applyProtection="1">
      <alignment horizontal="left" vertical="center"/>
    </xf>
    <xf numFmtId="166" fontId="21" fillId="0" borderId="1" xfId="0" applyNumberFormat="1" applyFont="1" applyBorder="1" applyAlignment="1" applyProtection="1">
      <alignment horizontal="left" vertical="center"/>
    </xf>
    <xf numFmtId="0" fontId="27" fillId="0" borderId="20" xfId="0" applyFont="1" applyFill="1" applyBorder="1" applyAlignment="1" applyProtection="1">
      <alignment horizontal="center" vertical="center"/>
    </xf>
    <xf numFmtId="0" fontId="27" fillId="0" borderId="28" xfId="0" applyFont="1" applyFill="1" applyBorder="1" applyAlignment="1" applyProtection="1">
      <alignment horizontal="center" vertical="center"/>
    </xf>
    <xf numFmtId="0" fontId="27" fillId="0" borderId="33" xfId="0" applyFont="1" applyFill="1" applyBorder="1" applyAlignment="1" applyProtection="1">
      <alignment horizontal="center" vertical="center"/>
    </xf>
    <xf numFmtId="0" fontId="27" fillId="6" borderId="1" xfId="0" applyFont="1" applyFill="1" applyBorder="1" applyAlignment="1" applyProtection="1">
      <alignment horizontal="center" vertical="center"/>
      <protection locked="0"/>
    </xf>
    <xf numFmtId="0" fontId="21" fillId="0" borderId="2" xfId="0" applyFont="1" applyBorder="1" applyAlignment="1" applyProtection="1">
      <alignment vertical="center"/>
    </xf>
    <xf numFmtId="0" fontId="21" fillId="0" borderId="1" xfId="0" applyFont="1" applyBorder="1" applyAlignment="1" applyProtection="1">
      <alignment vertical="center"/>
    </xf>
    <xf numFmtId="0" fontId="9" fillId="0" borderId="18" xfId="0" applyFont="1" applyFill="1" applyBorder="1" applyAlignment="1" applyProtection="1">
      <alignment horizontal="center" vertical="center"/>
    </xf>
    <xf numFmtId="0" fontId="9" fillId="0" borderId="19" xfId="0" applyFont="1" applyFill="1" applyBorder="1" applyAlignment="1" applyProtection="1">
      <alignment horizontal="center" vertical="center"/>
    </xf>
    <xf numFmtId="166" fontId="0" fillId="0" borderId="6" xfId="0" applyNumberFormat="1" applyBorder="1" applyAlignment="1" applyProtection="1">
      <alignment horizontal="center" vertical="center"/>
    </xf>
    <xf numFmtId="165" fontId="21" fillId="0" borderId="6" xfId="0" applyNumberFormat="1" applyFont="1" applyFill="1" applyBorder="1" applyAlignment="1" applyProtection="1">
      <alignment horizontal="center" vertical="center"/>
    </xf>
    <xf numFmtId="0" fontId="25" fillId="0" borderId="0" xfId="0" applyFont="1" applyBorder="1" applyAlignment="1" applyProtection="1">
      <alignment horizontal="right" vertical="center"/>
    </xf>
    <xf numFmtId="0" fontId="25" fillId="0" borderId="29" xfId="0" applyFont="1" applyBorder="1" applyAlignment="1" applyProtection="1">
      <alignment horizontal="right" vertical="center"/>
    </xf>
    <xf numFmtId="0" fontId="25" fillId="0" borderId="30" xfId="0" applyFont="1" applyBorder="1" applyAlignment="1" applyProtection="1">
      <alignment horizontal="right" vertical="center"/>
    </xf>
    <xf numFmtId="169" fontId="21" fillId="0" borderId="8" xfId="0" applyNumberFormat="1" applyFont="1" applyBorder="1" applyAlignment="1" applyProtection="1">
      <alignment horizontal="right" vertical="center"/>
    </xf>
    <xf numFmtId="169" fontId="21" fillId="0" borderId="44" xfId="0" applyNumberFormat="1" applyFont="1" applyBorder="1" applyAlignment="1" applyProtection="1">
      <alignment horizontal="right" vertical="center"/>
    </xf>
    <xf numFmtId="164" fontId="0" fillId="0" borderId="1" xfId="0" applyNumberFormat="1" applyBorder="1" applyAlignment="1" applyProtection="1">
      <alignment horizontal="center" vertical="center"/>
    </xf>
    <xf numFmtId="0" fontId="21" fillId="0" borderId="2" xfId="0" applyFont="1" applyFill="1" applyBorder="1" applyAlignment="1" applyProtection="1">
      <alignment horizontal="left" vertical="center"/>
    </xf>
    <xf numFmtId="0" fontId="21" fillId="0" borderId="1" xfId="0" applyFont="1" applyFill="1" applyBorder="1" applyAlignment="1" applyProtection="1">
      <alignment horizontal="left" vertical="center"/>
    </xf>
    <xf numFmtId="0" fontId="27" fillId="0" borderId="2" xfId="0" applyFont="1" applyBorder="1" applyAlignment="1" applyProtection="1">
      <alignment horizontal="left" vertical="center"/>
    </xf>
    <xf numFmtId="0" fontId="27" fillId="0" borderId="1" xfId="0" applyFont="1" applyBorder="1" applyAlignment="1" applyProtection="1">
      <alignment horizontal="left" vertical="center"/>
    </xf>
    <xf numFmtId="166" fontId="20" fillId="6" borderId="28" xfId="0" applyNumberFormat="1" applyFont="1" applyFill="1" applyBorder="1" applyAlignment="1" applyProtection="1">
      <alignment horizontal="center" vertical="center"/>
      <protection locked="0"/>
    </xf>
    <xf numFmtId="166" fontId="20" fillId="6" borderId="24" xfId="0" applyNumberFormat="1" applyFont="1" applyFill="1" applyBorder="1" applyAlignment="1" applyProtection="1">
      <alignment horizontal="center" vertical="center"/>
      <protection locked="0"/>
    </xf>
    <xf numFmtId="165" fontId="20" fillId="6" borderId="28" xfId="0" applyNumberFormat="1" applyFont="1" applyFill="1" applyBorder="1" applyAlignment="1" applyProtection="1">
      <alignment horizontal="center" vertical="center"/>
      <protection locked="0"/>
    </xf>
    <xf numFmtId="165" fontId="20" fillId="6" borderId="24" xfId="0" applyNumberFormat="1" applyFont="1" applyFill="1" applyBorder="1" applyAlignment="1" applyProtection="1">
      <alignment horizontal="center" vertical="center"/>
      <protection locked="0"/>
    </xf>
    <xf numFmtId="0" fontId="27" fillId="0" borderId="2" xfId="0" applyFont="1" applyBorder="1" applyAlignment="1" applyProtection="1">
      <alignment horizontal="left" vertical="center" wrapText="1"/>
    </xf>
    <xf numFmtId="0" fontId="27" fillId="0" borderId="1" xfId="0" applyFont="1" applyBorder="1" applyAlignment="1" applyProtection="1">
      <alignment horizontal="left" vertical="center" wrapText="1"/>
    </xf>
    <xf numFmtId="0" fontId="27" fillId="0" borderId="7" xfId="0" applyFont="1" applyBorder="1" applyAlignment="1" applyProtection="1">
      <alignment horizontal="left" vertical="center"/>
    </xf>
    <xf numFmtId="0" fontId="27" fillId="0" borderId="8" xfId="0" applyFont="1" applyBorder="1" applyAlignment="1" applyProtection="1">
      <alignment horizontal="left" vertical="center"/>
    </xf>
    <xf numFmtId="0" fontId="25" fillId="0" borderId="48" xfId="0" applyFont="1" applyBorder="1" applyAlignment="1" applyProtection="1">
      <alignment horizontal="left" vertical="center"/>
    </xf>
    <xf numFmtId="0" fontId="25" fillId="0" borderId="28" xfId="0" applyFont="1" applyBorder="1" applyAlignment="1" applyProtection="1">
      <alignment horizontal="left" vertical="center"/>
    </xf>
    <xf numFmtId="165" fontId="20" fillId="6" borderId="1" xfId="0" applyNumberFormat="1" applyFont="1" applyFill="1" applyBorder="1" applyAlignment="1" applyProtection="1">
      <alignment horizontal="center" vertical="center"/>
      <protection locked="0"/>
    </xf>
    <xf numFmtId="165" fontId="20" fillId="6" borderId="6" xfId="0" applyNumberFormat="1" applyFont="1" applyFill="1" applyBorder="1" applyAlignment="1" applyProtection="1">
      <alignment horizontal="center" vertical="center"/>
      <protection locked="0"/>
    </xf>
    <xf numFmtId="0" fontId="7" fillId="2" borderId="0" xfId="0" applyFont="1" applyFill="1" applyBorder="1" applyAlignment="1" applyProtection="1">
      <alignment horizontal="center" vertical="center" wrapText="1"/>
    </xf>
    <xf numFmtId="165" fontId="20" fillId="6" borderId="26" xfId="0" applyNumberFormat="1" applyFont="1" applyFill="1" applyBorder="1" applyAlignment="1" applyProtection="1">
      <alignment horizontal="center" vertical="center"/>
      <protection locked="0"/>
    </xf>
    <xf numFmtId="165" fontId="20" fillId="6" borderId="25" xfId="0" applyNumberFormat="1" applyFont="1" applyFill="1" applyBorder="1" applyAlignment="1" applyProtection="1">
      <alignment horizontal="center" vertical="center"/>
      <protection locked="0"/>
    </xf>
    <xf numFmtId="0" fontId="20" fillId="0" borderId="17" xfId="0" applyFont="1" applyBorder="1" applyAlignment="1" applyProtection="1">
      <alignment horizontal="left" vertical="center"/>
    </xf>
    <xf numFmtId="0" fontId="20" fillId="0" borderId="18" xfId="0" applyFont="1" applyBorder="1" applyAlignment="1" applyProtection="1">
      <alignment horizontal="left" vertical="center"/>
    </xf>
    <xf numFmtId="0" fontId="20" fillId="0" borderId="2" xfId="0" applyFont="1" applyBorder="1" applyAlignment="1" applyProtection="1">
      <alignment horizontal="left" vertical="center"/>
    </xf>
    <xf numFmtId="0" fontId="20" fillId="0" borderId="1" xfId="0" applyFont="1" applyBorder="1" applyAlignment="1" applyProtection="1">
      <alignment horizontal="left" vertical="center"/>
    </xf>
    <xf numFmtId="0" fontId="27" fillId="0" borderId="2" xfId="0" applyFont="1" applyFill="1" applyBorder="1" applyAlignment="1" applyProtection="1">
      <alignment horizontal="left" vertical="center"/>
    </xf>
    <xf numFmtId="0" fontId="27" fillId="0" borderId="1" xfId="0" applyFont="1" applyFill="1" applyBorder="1" applyAlignment="1" applyProtection="1">
      <alignment horizontal="left" vertical="center"/>
    </xf>
    <xf numFmtId="0" fontId="27" fillId="0" borderId="2" xfId="0" applyFont="1" applyFill="1" applyBorder="1" applyAlignment="1" applyProtection="1">
      <alignment horizontal="left" vertical="center" wrapText="1"/>
    </xf>
    <xf numFmtId="0" fontId="27" fillId="0" borderId="1" xfId="0" applyFont="1" applyFill="1" applyBorder="1" applyAlignment="1" applyProtection="1">
      <alignment horizontal="left" vertical="center" wrapText="1"/>
    </xf>
    <xf numFmtId="164" fontId="20" fillId="6" borderId="37" xfId="0" applyNumberFormat="1" applyFont="1" applyFill="1" applyBorder="1" applyAlignment="1" applyProtection="1">
      <alignment horizontal="center" vertical="center"/>
      <protection locked="0"/>
    </xf>
    <xf numFmtId="164" fontId="20" fillId="6" borderId="38" xfId="0" applyNumberFormat="1" applyFont="1" applyFill="1" applyBorder="1" applyAlignment="1" applyProtection="1">
      <alignment horizontal="center" vertical="center"/>
      <protection locked="0"/>
    </xf>
    <xf numFmtId="164" fontId="20" fillId="6" borderId="28" xfId="0" applyNumberFormat="1" applyFont="1" applyFill="1" applyBorder="1" applyAlignment="1" applyProtection="1">
      <alignment horizontal="center" vertical="center"/>
      <protection locked="0"/>
    </xf>
    <xf numFmtId="164" fontId="20" fillId="6" borderId="24" xfId="0" applyNumberFormat="1" applyFont="1" applyFill="1" applyBorder="1" applyAlignment="1" applyProtection="1">
      <alignment horizontal="center" vertical="center"/>
      <protection locked="0"/>
    </xf>
    <xf numFmtId="166" fontId="0" fillId="6" borderId="28" xfId="0" applyNumberFormat="1" applyFont="1" applyFill="1" applyBorder="1" applyAlignment="1" applyProtection="1">
      <alignment horizontal="center" vertical="center" wrapText="1"/>
      <protection locked="0"/>
    </xf>
    <xf numFmtId="166" fontId="0" fillId="6" borderId="24" xfId="0" applyNumberFormat="1" applyFont="1" applyFill="1" applyBorder="1" applyAlignment="1" applyProtection="1">
      <alignment horizontal="center" vertical="center" wrapText="1"/>
      <protection locked="0"/>
    </xf>
    <xf numFmtId="165" fontId="27" fillId="0" borderId="28" xfId="0" applyNumberFormat="1" applyFont="1" applyFill="1" applyBorder="1" applyAlignment="1" applyProtection="1">
      <alignment horizontal="center" vertical="center" wrapText="1"/>
    </xf>
    <xf numFmtId="165" fontId="27" fillId="0" borderId="24" xfId="0" applyNumberFormat="1" applyFont="1" applyFill="1" applyBorder="1" applyAlignment="1" applyProtection="1">
      <alignment horizontal="center" vertical="center" wrapText="1"/>
    </xf>
    <xf numFmtId="164" fontId="21" fillId="0" borderId="1" xfId="0" applyNumberFormat="1" applyFont="1" applyBorder="1" applyAlignment="1" applyProtection="1">
      <alignment horizontal="center" vertical="center"/>
    </xf>
    <xf numFmtId="0" fontId="21" fillId="0" borderId="7" xfId="0" applyFont="1" applyBorder="1" applyAlignment="1" applyProtection="1">
      <alignment vertical="center"/>
    </xf>
    <xf numFmtId="0" fontId="21" fillId="0" borderId="8" xfId="0" applyFont="1" applyBorder="1" applyAlignment="1" applyProtection="1">
      <alignment vertical="center"/>
    </xf>
    <xf numFmtId="0" fontId="21" fillId="0" borderId="48" xfId="0" applyFont="1" applyBorder="1" applyAlignment="1" applyProtection="1">
      <alignment horizontal="left" vertical="center"/>
    </xf>
    <xf numFmtId="0" fontId="21" fillId="0" borderId="28" xfId="0" applyFont="1" applyBorder="1" applyAlignment="1" applyProtection="1">
      <alignment horizontal="left" vertical="center"/>
    </xf>
    <xf numFmtId="0" fontId="21" fillId="2" borderId="2" xfId="0" applyFont="1" applyFill="1" applyBorder="1" applyAlignment="1" applyProtection="1">
      <alignment horizontal="center" vertical="center"/>
    </xf>
    <xf numFmtId="0" fontId="21" fillId="2" borderId="1" xfId="0" applyFont="1" applyFill="1" applyBorder="1" applyAlignment="1" applyProtection="1">
      <alignment horizontal="center" vertical="center"/>
    </xf>
    <xf numFmtId="0" fontId="9" fillId="0" borderId="17" xfId="0" applyFont="1" applyFill="1" applyBorder="1" applyAlignment="1" applyProtection="1">
      <alignment horizontal="left" vertical="center"/>
    </xf>
    <xf numFmtId="0" fontId="9" fillId="0" borderId="19" xfId="0" applyFont="1" applyFill="1" applyBorder="1" applyAlignment="1" applyProtection="1">
      <alignment horizontal="left" vertical="center"/>
    </xf>
    <xf numFmtId="0" fontId="9" fillId="0" borderId="0" xfId="0" applyFont="1" applyFill="1" applyBorder="1" applyAlignment="1" applyProtection="1">
      <alignment horizontal="left" vertical="center"/>
    </xf>
    <xf numFmtId="169" fontId="21" fillId="0" borderId="49" xfId="0" applyNumberFormat="1" applyFont="1" applyBorder="1" applyAlignment="1" applyProtection="1">
      <alignment horizontal="right" vertical="center"/>
    </xf>
    <xf numFmtId="169" fontId="21" fillId="0" borderId="50" xfId="0" applyNumberFormat="1" applyFont="1" applyBorder="1" applyAlignment="1" applyProtection="1">
      <alignment horizontal="right" vertical="center"/>
    </xf>
    <xf numFmtId="0" fontId="21" fillId="2" borderId="48" xfId="0" applyFont="1" applyFill="1" applyBorder="1" applyAlignment="1" applyProtection="1">
      <alignment horizontal="center" vertical="center"/>
    </xf>
    <xf numFmtId="0" fontId="21" fillId="2" borderId="28" xfId="0" applyFont="1" applyFill="1" applyBorder="1" applyAlignment="1" applyProtection="1">
      <alignment horizontal="center" vertical="center"/>
    </xf>
    <xf numFmtId="0" fontId="21" fillId="2" borderId="33" xfId="0" applyFont="1" applyFill="1" applyBorder="1" applyAlignment="1" applyProtection="1">
      <alignment horizontal="center" vertical="center"/>
    </xf>
    <xf numFmtId="0" fontId="21" fillId="0" borderId="33" xfId="0" applyFont="1" applyBorder="1" applyAlignment="1" applyProtection="1">
      <alignment horizontal="left" vertical="center"/>
    </xf>
    <xf numFmtId="164" fontId="0" fillId="0" borderId="1" xfId="0" applyNumberFormat="1" applyFill="1" applyBorder="1" applyAlignment="1" applyProtection="1">
      <alignment horizontal="center" vertical="center"/>
    </xf>
    <xf numFmtId="166" fontId="0" fillId="0" borderId="6" xfId="0" applyNumberFormat="1" applyFill="1" applyBorder="1" applyAlignment="1" applyProtection="1">
      <alignment horizontal="center" vertical="center"/>
    </xf>
    <xf numFmtId="0" fontId="9" fillId="0" borderId="18" xfId="0" applyFont="1" applyFill="1" applyBorder="1" applyAlignment="1" applyProtection="1">
      <alignment horizontal="left" vertical="center"/>
    </xf>
    <xf numFmtId="0" fontId="20" fillId="0" borderId="0" xfId="0" applyFont="1" applyBorder="1" applyAlignment="1" applyProtection="1">
      <alignment horizontal="center" vertical="center"/>
    </xf>
    <xf numFmtId="0" fontId="27" fillId="0" borderId="20" xfId="0" applyFont="1" applyFill="1" applyBorder="1" applyAlignment="1" applyProtection="1">
      <alignment horizontal="right" vertical="center"/>
    </xf>
    <xf numFmtId="0" fontId="27" fillId="0" borderId="28" xfId="0" applyFont="1" applyFill="1" applyBorder="1" applyAlignment="1" applyProtection="1">
      <alignment horizontal="right" vertical="center"/>
    </xf>
    <xf numFmtId="0" fontId="27" fillId="0" borderId="33" xfId="0" applyFont="1" applyFill="1" applyBorder="1" applyAlignment="1" applyProtection="1">
      <alignment horizontal="right" vertical="center"/>
    </xf>
    <xf numFmtId="166" fontId="0" fillId="0" borderId="34" xfId="0" applyNumberFormat="1" applyFill="1" applyBorder="1" applyAlignment="1" applyProtection="1">
      <alignment horizontal="center" vertical="center"/>
    </xf>
    <xf numFmtId="169" fontId="37" fillId="0" borderId="0" xfId="0" applyNumberFormat="1" applyFont="1" applyFill="1" applyBorder="1" applyAlignment="1" applyProtection="1">
      <alignment horizontal="center" wrapText="1"/>
    </xf>
    <xf numFmtId="0" fontId="21" fillId="0" borderId="27" xfId="0" applyFont="1" applyBorder="1" applyAlignment="1" applyProtection="1">
      <alignment vertical="center"/>
    </xf>
    <xf numFmtId="0" fontId="21" fillId="0" borderId="15" xfId="0" applyFont="1" applyBorder="1" applyAlignment="1" applyProtection="1">
      <alignment vertical="center"/>
    </xf>
    <xf numFmtId="164" fontId="20" fillId="6" borderId="20" xfId="0" applyNumberFormat="1" applyFont="1" applyFill="1" applyBorder="1" applyAlignment="1" applyProtection="1">
      <alignment horizontal="center" vertical="center"/>
      <protection locked="0"/>
    </xf>
    <xf numFmtId="164" fontId="20" fillId="6" borderId="45" xfId="0" applyNumberFormat="1" applyFont="1" applyFill="1" applyBorder="1" applyAlignment="1" applyProtection="1">
      <alignment horizontal="center" vertical="center"/>
      <protection locked="0"/>
    </xf>
    <xf numFmtId="165" fontId="20" fillId="6" borderId="20" xfId="0" applyNumberFormat="1" applyFont="1" applyFill="1" applyBorder="1" applyAlignment="1" applyProtection="1">
      <alignment horizontal="center" vertical="center"/>
      <protection locked="0"/>
    </xf>
    <xf numFmtId="165" fontId="20" fillId="2" borderId="20" xfId="0" applyNumberFormat="1" applyFont="1" applyFill="1" applyBorder="1" applyAlignment="1" applyProtection="1">
      <alignment horizontal="center" vertical="center"/>
      <protection locked="0"/>
    </xf>
    <xf numFmtId="165" fontId="20" fillId="2" borderId="28" xfId="0" applyNumberFormat="1" applyFont="1" applyFill="1" applyBorder="1" applyAlignment="1" applyProtection="1">
      <alignment horizontal="center" vertical="center"/>
      <protection locked="0"/>
    </xf>
    <xf numFmtId="165" fontId="20" fillId="2" borderId="24" xfId="0" applyNumberFormat="1" applyFont="1" applyFill="1" applyBorder="1" applyAlignment="1" applyProtection="1">
      <alignment horizontal="center" vertical="center"/>
      <protection locked="0"/>
    </xf>
    <xf numFmtId="166" fontId="20" fillId="6" borderId="20" xfId="0" applyNumberFormat="1" applyFont="1" applyFill="1" applyBorder="1" applyAlignment="1" applyProtection="1">
      <alignment horizontal="center" vertical="center" wrapText="1"/>
      <protection locked="0"/>
    </xf>
    <xf numFmtId="166" fontId="20" fillId="6" borderId="28" xfId="0" applyNumberFormat="1" applyFont="1" applyFill="1" applyBorder="1" applyAlignment="1" applyProtection="1">
      <alignment horizontal="center" vertical="center" wrapText="1"/>
      <protection locked="0"/>
    </xf>
    <xf numFmtId="166" fontId="20" fillId="6" borderId="24" xfId="0" applyNumberFormat="1" applyFont="1" applyFill="1" applyBorder="1" applyAlignment="1" applyProtection="1">
      <alignment horizontal="center" vertical="center" wrapText="1"/>
      <protection locked="0"/>
    </xf>
    <xf numFmtId="166" fontId="20" fillId="6" borderId="20" xfId="0" applyNumberFormat="1" applyFont="1" applyFill="1" applyBorder="1" applyAlignment="1" applyProtection="1">
      <alignment horizontal="center" vertical="center"/>
      <protection locked="0"/>
    </xf>
    <xf numFmtId="164" fontId="20" fillId="6" borderId="44" xfId="0" applyNumberFormat="1" applyFont="1" applyFill="1" applyBorder="1" applyAlignment="1" applyProtection="1">
      <alignment horizontal="center" vertical="center" wrapText="1"/>
      <protection locked="0"/>
    </xf>
    <xf numFmtId="164" fontId="20" fillId="6" borderId="26" xfId="0" applyNumberFormat="1" applyFont="1" applyFill="1" applyBorder="1" applyAlignment="1" applyProtection="1">
      <alignment horizontal="center" vertical="center" wrapText="1"/>
      <protection locked="0"/>
    </xf>
    <xf numFmtId="164" fontId="20" fillId="6" borderId="25" xfId="0" applyNumberFormat="1" applyFont="1" applyFill="1" applyBorder="1" applyAlignment="1" applyProtection="1">
      <alignment horizontal="center" vertical="center" wrapText="1"/>
      <protection locked="0"/>
    </xf>
    <xf numFmtId="0" fontId="25" fillId="0" borderId="1" xfId="0" applyFont="1" applyBorder="1" applyAlignment="1" applyProtection="1">
      <alignment horizontal="center" vertical="center"/>
    </xf>
    <xf numFmtId="0" fontId="25" fillId="0" borderId="0" xfId="0" applyFont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right" vertical="center"/>
    </xf>
    <xf numFmtId="0" fontId="9" fillId="0" borderId="13" xfId="0" applyFont="1" applyFill="1" applyBorder="1" applyAlignment="1" applyProtection="1">
      <alignment horizontal="left" vertical="center"/>
    </xf>
    <xf numFmtId="0" fontId="20" fillId="0" borderId="2" xfId="0" applyFont="1" applyBorder="1" applyAlignment="1" applyProtection="1">
      <alignment horizontal="left" vertical="center" wrapText="1"/>
    </xf>
    <xf numFmtId="0" fontId="20" fillId="0" borderId="1" xfId="0" applyFont="1" applyBorder="1" applyAlignment="1" applyProtection="1">
      <alignment horizontal="left" vertical="center" wrapText="1"/>
    </xf>
    <xf numFmtId="0" fontId="24" fillId="0" borderId="7" xfId="0" applyFont="1" applyBorder="1" applyAlignment="1" applyProtection="1">
      <alignment horizontal="left" vertical="center" wrapText="1"/>
    </xf>
    <xf numFmtId="0" fontId="24" fillId="0" borderId="8" xfId="0" applyFont="1" applyBorder="1" applyAlignment="1" applyProtection="1">
      <alignment horizontal="left" vertical="center" wrapText="1"/>
    </xf>
    <xf numFmtId="0" fontId="27" fillId="0" borderId="1" xfId="0" applyFont="1" applyFill="1" applyBorder="1" applyAlignment="1" applyProtection="1">
      <alignment horizontal="right" vertical="center"/>
    </xf>
    <xf numFmtId="0" fontId="20" fillId="0" borderId="0" xfId="0" applyFont="1" applyBorder="1" applyAlignment="1" applyProtection="1">
      <alignment horizontal="left" vertical="center"/>
    </xf>
    <xf numFmtId="0" fontId="9" fillId="0" borderId="11" xfId="0" applyFont="1" applyFill="1" applyBorder="1" applyAlignment="1" applyProtection="1">
      <alignment horizontal="left" vertical="center"/>
    </xf>
    <xf numFmtId="0" fontId="9" fillId="0" borderId="3" xfId="0" applyFont="1" applyFill="1" applyBorder="1" applyAlignment="1" applyProtection="1">
      <alignment horizontal="left" vertical="center"/>
    </xf>
    <xf numFmtId="0" fontId="24" fillId="0" borderId="2" xfId="0" applyFont="1" applyBorder="1" applyAlignment="1" applyProtection="1">
      <alignment horizontal="left" vertical="center" wrapText="1"/>
    </xf>
    <xf numFmtId="0" fontId="24" fillId="0" borderId="1" xfId="0" applyFont="1" applyBorder="1" applyAlignment="1" applyProtection="1">
      <alignment horizontal="left" vertical="center" wrapText="1"/>
    </xf>
    <xf numFmtId="0" fontId="27" fillId="0" borderId="7" xfId="0" applyFont="1" applyBorder="1" applyAlignment="1" applyProtection="1">
      <alignment horizontal="left" vertical="center" wrapText="1"/>
    </xf>
    <xf numFmtId="0" fontId="27" fillId="0" borderId="8" xfId="0" applyFont="1" applyBorder="1" applyAlignment="1" applyProtection="1">
      <alignment horizontal="left" vertical="center" wrapText="1"/>
    </xf>
    <xf numFmtId="166" fontId="21" fillId="0" borderId="27" xfId="0" applyNumberFormat="1" applyFont="1" applyBorder="1" applyAlignment="1" applyProtection="1">
      <alignment horizontal="left" vertical="center"/>
    </xf>
    <xf numFmtId="166" fontId="21" fillId="0" borderId="15" xfId="0" applyNumberFormat="1" applyFont="1" applyBorder="1" applyAlignment="1" applyProtection="1">
      <alignment horizontal="left" vertical="center"/>
    </xf>
    <xf numFmtId="0" fontId="24" fillId="0" borderId="2" xfId="0" applyFont="1" applyFill="1" applyBorder="1" applyAlignment="1" applyProtection="1">
      <alignment vertical="center"/>
    </xf>
    <xf numFmtId="0" fontId="24" fillId="0" borderId="1" xfId="0" applyFont="1" applyFill="1" applyBorder="1" applyAlignment="1" applyProtection="1">
      <alignment vertical="center"/>
    </xf>
    <xf numFmtId="165" fontId="27" fillId="6" borderId="28" xfId="0" applyNumberFormat="1" applyFont="1" applyFill="1" applyBorder="1" applyAlignment="1" applyProtection="1">
      <alignment horizontal="center" vertical="center"/>
      <protection locked="0"/>
    </xf>
    <xf numFmtId="165" fontId="27" fillId="6" borderId="24" xfId="0" applyNumberFormat="1" applyFont="1" applyFill="1" applyBorder="1" applyAlignment="1" applyProtection="1">
      <alignment horizontal="center" vertical="center"/>
      <protection locked="0"/>
    </xf>
    <xf numFmtId="169" fontId="21" fillId="0" borderId="36" xfId="0" applyNumberFormat="1" applyFont="1" applyBorder="1" applyAlignment="1" applyProtection="1">
      <alignment horizontal="right" vertical="center"/>
    </xf>
    <xf numFmtId="0" fontId="9" fillId="0" borderId="39" xfId="0" applyFont="1" applyFill="1" applyBorder="1" applyAlignment="1" applyProtection="1">
      <alignment horizontal="center" vertical="center"/>
    </xf>
    <xf numFmtId="0" fontId="27" fillId="0" borderId="1" xfId="0" applyFont="1" applyFill="1" applyBorder="1" applyAlignment="1" applyProtection="1">
      <alignment horizontal="center" vertical="center"/>
    </xf>
    <xf numFmtId="0" fontId="20" fillId="0" borderId="0" xfId="0" applyFont="1" applyBorder="1" applyAlignment="1" applyProtection="1">
      <alignment vertical="center"/>
    </xf>
    <xf numFmtId="165" fontId="20" fillId="6" borderId="28" xfId="0" applyNumberFormat="1" applyFont="1" applyFill="1" applyBorder="1" applyAlignment="1" applyProtection="1">
      <alignment horizontal="center" vertical="center" wrapText="1"/>
      <protection locked="0"/>
    </xf>
    <xf numFmtId="165" fontId="20" fillId="6" borderId="24" xfId="0" applyNumberFormat="1" applyFont="1" applyFill="1" applyBorder="1" applyAlignment="1" applyProtection="1">
      <alignment horizontal="center" vertical="center" wrapText="1"/>
      <protection locked="0"/>
    </xf>
    <xf numFmtId="164" fontId="20" fillId="6" borderId="28" xfId="0" applyNumberFormat="1" applyFont="1" applyFill="1" applyBorder="1" applyAlignment="1" applyProtection="1">
      <alignment horizontal="center" vertical="center" wrapText="1"/>
      <protection locked="0"/>
    </xf>
    <xf numFmtId="164" fontId="20" fillId="6" borderId="24" xfId="0" applyNumberFormat="1" applyFont="1" applyFill="1" applyBorder="1" applyAlignment="1" applyProtection="1">
      <alignment horizontal="center" vertical="center" wrapText="1"/>
      <protection locked="0"/>
    </xf>
    <xf numFmtId="165" fontId="21" fillId="0" borderId="1" xfId="0" applyNumberFormat="1" applyFont="1" applyBorder="1" applyAlignment="1" applyProtection="1">
      <alignment horizontal="center" vertical="center"/>
    </xf>
    <xf numFmtId="169" fontId="21" fillId="0" borderId="6" xfId="0" applyNumberFormat="1" applyFont="1" applyBorder="1" applyAlignment="1" applyProtection="1">
      <alignment horizontal="center" vertical="center"/>
    </xf>
    <xf numFmtId="169" fontId="21" fillId="0" borderId="2" xfId="0" applyNumberFormat="1" applyFont="1" applyFill="1" applyBorder="1" applyAlignment="1" applyProtection="1">
      <alignment horizontal="left" vertical="center"/>
    </xf>
    <xf numFmtId="0" fontId="21" fillId="6" borderId="20" xfId="0" applyFont="1" applyFill="1" applyBorder="1" applyAlignment="1" applyProtection="1">
      <alignment horizontal="center" vertical="center" wrapText="1"/>
      <protection locked="0"/>
    </xf>
    <xf numFmtId="0" fontId="21" fillId="6" borderId="28" xfId="0" applyFont="1" applyFill="1" applyBorder="1" applyAlignment="1" applyProtection="1">
      <alignment horizontal="center" vertical="center" wrapText="1"/>
      <protection locked="0"/>
    </xf>
    <xf numFmtId="0" fontId="21" fillId="6" borderId="24" xfId="0" applyFont="1" applyFill="1" applyBorder="1" applyAlignment="1" applyProtection="1">
      <alignment horizontal="center" vertical="center" wrapText="1"/>
      <protection locked="0"/>
    </xf>
    <xf numFmtId="166" fontId="20" fillId="6" borderId="44" xfId="0" applyNumberFormat="1" applyFont="1" applyFill="1" applyBorder="1" applyAlignment="1" applyProtection="1">
      <alignment horizontal="center" vertical="center" wrapText="1"/>
      <protection locked="0"/>
    </xf>
    <xf numFmtId="166" fontId="20" fillId="6" borderId="26" xfId="0" applyNumberFormat="1" applyFont="1" applyFill="1" applyBorder="1" applyAlignment="1" applyProtection="1">
      <alignment horizontal="center" vertical="center" wrapText="1"/>
      <protection locked="0"/>
    </xf>
    <xf numFmtId="166" fontId="20" fillId="6" borderId="25" xfId="0" applyNumberFormat="1" applyFont="1" applyFill="1" applyBorder="1" applyAlignment="1" applyProtection="1">
      <alignment horizontal="center" vertical="center" wrapText="1"/>
      <protection locked="0"/>
    </xf>
    <xf numFmtId="165" fontId="21" fillId="6" borderId="20" xfId="0" applyNumberFormat="1" applyFont="1" applyFill="1" applyBorder="1" applyAlignment="1" applyProtection="1">
      <alignment horizontal="center" vertical="center"/>
      <protection locked="0"/>
    </xf>
    <xf numFmtId="165" fontId="21" fillId="6" borderId="28" xfId="0" applyNumberFormat="1" applyFont="1" applyFill="1" applyBorder="1" applyAlignment="1" applyProtection="1">
      <alignment horizontal="center" vertical="center"/>
      <protection locked="0"/>
    </xf>
    <xf numFmtId="165" fontId="21" fillId="6" borderId="24" xfId="0" applyNumberFormat="1" applyFont="1" applyFill="1" applyBorder="1" applyAlignment="1" applyProtection="1">
      <alignment horizontal="center" vertical="center"/>
      <protection locked="0"/>
    </xf>
    <xf numFmtId="169" fontId="21" fillId="0" borderId="43" xfId="0" applyNumberFormat="1" applyFont="1" applyBorder="1" applyAlignment="1" applyProtection="1">
      <alignment horizontal="center" vertical="center"/>
    </xf>
    <xf numFmtId="169" fontId="21" fillId="0" borderId="47" xfId="0" applyNumberFormat="1" applyFont="1" applyBorder="1" applyAlignment="1" applyProtection="1">
      <alignment horizontal="center" vertical="center"/>
    </xf>
    <xf numFmtId="0" fontId="25" fillId="0" borderId="20" xfId="0" applyFont="1" applyBorder="1" applyAlignment="1" applyProtection="1">
      <alignment horizontal="center" vertical="center"/>
    </xf>
    <xf numFmtId="0" fontId="25" fillId="0" borderId="33" xfId="0" applyFont="1" applyBorder="1" applyAlignment="1" applyProtection="1">
      <alignment horizontal="center" vertical="center"/>
    </xf>
    <xf numFmtId="165" fontId="21" fillId="0" borderId="34" xfId="0" applyNumberFormat="1" applyFont="1" applyBorder="1" applyAlignment="1" applyProtection="1">
      <alignment horizontal="center" vertical="center"/>
    </xf>
    <xf numFmtId="165" fontId="21" fillId="0" borderId="35" xfId="0" applyNumberFormat="1" applyFont="1" applyBorder="1" applyAlignment="1" applyProtection="1">
      <alignment horizontal="center" vertical="center"/>
    </xf>
    <xf numFmtId="164" fontId="21" fillId="0" borderId="15" xfId="0" applyNumberFormat="1" applyFont="1" applyFill="1" applyBorder="1" applyAlignment="1" applyProtection="1">
      <alignment horizontal="center" vertical="center"/>
    </xf>
    <xf numFmtId="164" fontId="21" fillId="0" borderId="16" xfId="0" applyNumberFormat="1" applyFont="1" applyFill="1" applyBorder="1" applyAlignment="1" applyProtection="1">
      <alignment horizontal="center" vertical="center"/>
    </xf>
    <xf numFmtId="0" fontId="12" fillId="0" borderId="15" xfId="0" applyFont="1" applyFill="1" applyBorder="1" applyAlignment="1" applyProtection="1">
      <alignment horizontal="center" vertical="center" wrapText="1"/>
    </xf>
    <xf numFmtId="0" fontId="12" fillId="0" borderId="40" xfId="0" applyFont="1" applyFill="1" applyBorder="1" applyAlignment="1" applyProtection="1">
      <alignment horizontal="center" vertical="center" wrapText="1"/>
    </xf>
    <xf numFmtId="0" fontId="12" fillId="0" borderId="16" xfId="0" applyFont="1" applyFill="1" applyBorder="1" applyAlignment="1" applyProtection="1">
      <alignment horizontal="center" vertical="center" wrapText="1"/>
    </xf>
    <xf numFmtId="0" fontId="13" fillId="0" borderId="15" xfId="0" applyFont="1" applyFill="1" applyBorder="1" applyAlignment="1" applyProtection="1">
      <alignment horizontal="center" vertical="center" wrapText="1"/>
    </xf>
    <xf numFmtId="0" fontId="13" fillId="0" borderId="40" xfId="0" applyFont="1" applyFill="1" applyBorder="1" applyAlignment="1" applyProtection="1">
      <alignment horizontal="center" vertical="center" wrapText="1"/>
    </xf>
    <xf numFmtId="0" fontId="13" fillId="0" borderId="16" xfId="0" applyFont="1" applyFill="1" applyBorder="1" applyAlignment="1" applyProtection="1">
      <alignment horizontal="center" vertical="center" wrapText="1"/>
    </xf>
    <xf numFmtId="170" fontId="12" fillId="0" borderId="15" xfId="0" applyNumberFormat="1" applyFont="1" applyBorder="1" applyAlignment="1" applyProtection="1">
      <alignment horizontal="center" vertical="center"/>
    </xf>
    <xf numFmtId="170" fontId="12" fillId="0" borderId="40" xfId="0" applyNumberFormat="1" applyFont="1" applyBorder="1" applyAlignment="1" applyProtection="1">
      <alignment horizontal="center" vertical="center"/>
    </xf>
    <xf numFmtId="170" fontId="12" fillId="0" borderId="16" xfId="0" applyNumberFormat="1" applyFont="1" applyBorder="1" applyAlignment="1" applyProtection="1">
      <alignment horizontal="center" vertical="center"/>
    </xf>
    <xf numFmtId="0" fontId="12" fillId="0" borderId="15" xfId="0" applyFont="1" applyBorder="1" applyAlignment="1" applyProtection="1">
      <alignment horizontal="center" vertical="center"/>
    </xf>
    <xf numFmtId="0" fontId="12" fillId="0" borderId="40" xfId="0" applyFont="1" applyBorder="1" applyAlignment="1" applyProtection="1">
      <alignment horizontal="center" vertical="center"/>
    </xf>
    <xf numFmtId="0" fontId="12" fillId="0" borderId="16" xfId="0" applyFont="1" applyBorder="1" applyAlignment="1" applyProtection="1">
      <alignment horizontal="center" vertical="center"/>
    </xf>
    <xf numFmtId="0" fontId="12" fillId="0" borderId="1" xfId="0" applyFont="1" applyBorder="1" applyAlignment="1" applyProtection="1">
      <alignment horizontal="center" vertical="center" wrapText="1"/>
    </xf>
    <xf numFmtId="0" fontId="12" fillId="0" borderId="1" xfId="0" applyFont="1" applyBorder="1" applyAlignment="1" applyProtection="1">
      <alignment horizontal="center" vertical="center"/>
    </xf>
    <xf numFmtId="0" fontId="13" fillId="0" borderId="1" xfId="0" applyFont="1" applyFill="1" applyBorder="1" applyAlignment="1" applyProtection="1">
      <alignment horizontal="center" vertical="center" wrapText="1"/>
    </xf>
    <xf numFmtId="170" fontId="12" fillId="0" borderId="1" xfId="0" applyNumberFormat="1" applyFont="1" applyBorder="1" applyAlignment="1" applyProtection="1">
      <alignment horizontal="center" vertical="center"/>
    </xf>
    <xf numFmtId="0" fontId="0" fillId="0" borderId="15" xfId="0" applyBorder="1" applyAlignment="1" applyProtection="1">
      <alignment horizontal="center"/>
    </xf>
    <xf numFmtId="0" fontId="0" fillId="0" borderId="40" xfId="0" applyBorder="1" applyAlignment="1" applyProtection="1">
      <alignment horizontal="center"/>
    </xf>
    <xf numFmtId="0" fontId="0" fillId="0" borderId="16" xfId="0" applyBorder="1" applyAlignment="1" applyProtection="1">
      <alignment horizontal="center"/>
    </xf>
    <xf numFmtId="0" fontId="12" fillId="0" borderId="15" xfId="0" applyFont="1" applyFill="1" applyBorder="1" applyAlignment="1" applyProtection="1">
      <alignment horizontal="center" vertical="center"/>
    </xf>
    <xf numFmtId="0" fontId="12" fillId="0" borderId="40" xfId="0" applyFont="1" applyFill="1" applyBorder="1" applyAlignment="1" applyProtection="1">
      <alignment horizontal="center" vertical="center"/>
    </xf>
    <xf numFmtId="0" fontId="12" fillId="0" borderId="16" xfId="0" applyFont="1" applyFill="1" applyBorder="1" applyAlignment="1" applyProtection="1">
      <alignment horizontal="center" vertical="center"/>
    </xf>
    <xf numFmtId="0" fontId="12" fillId="0" borderId="15" xfId="0" applyFont="1" applyFill="1" applyBorder="1" applyAlignment="1">
      <alignment horizontal="center" vertical="center" wrapText="1"/>
    </xf>
    <xf numFmtId="0" fontId="12" fillId="0" borderId="16" xfId="0" applyFont="1" applyFill="1" applyBorder="1" applyAlignment="1">
      <alignment horizontal="center" vertical="center" wrapText="1"/>
    </xf>
    <xf numFmtId="0" fontId="13" fillId="0" borderId="15" xfId="0" applyFont="1" applyFill="1" applyBorder="1" applyAlignment="1">
      <alignment horizontal="center" vertical="center" wrapText="1"/>
    </xf>
    <xf numFmtId="0" fontId="13" fillId="0" borderId="16" xfId="0" applyFont="1" applyFill="1" applyBorder="1" applyAlignment="1">
      <alignment horizontal="center" vertical="center" wrapText="1"/>
    </xf>
    <xf numFmtId="0" fontId="12" fillId="0" borderId="15" xfId="0" applyFont="1" applyFill="1" applyBorder="1" applyAlignment="1">
      <alignment horizontal="center" vertical="center"/>
    </xf>
    <xf numFmtId="0" fontId="12" fillId="0" borderId="16" xfId="0" applyFont="1" applyFill="1" applyBorder="1" applyAlignment="1">
      <alignment horizontal="center" vertical="center"/>
    </xf>
    <xf numFmtId="0" fontId="12" fillId="0" borderId="1" xfId="0" applyFont="1" applyFill="1" applyBorder="1" applyAlignment="1" applyProtection="1">
      <alignment horizontal="center" vertical="center"/>
    </xf>
    <xf numFmtId="170" fontId="12" fillId="0" borderId="1" xfId="0" applyNumberFormat="1" applyFont="1" applyFill="1" applyBorder="1" applyAlignment="1" applyProtection="1">
      <alignment horizontal="center" vertical="center"/>
    </xf>
    <xf numFmtId="0" fontId="14" fillId="0" borderId="1" xfId="0" applyFont="1" applyFill="1" applyBorder="1" applyAlignment="1" applyProtection="1">
      <alignment horizontal="center" vertical="center"/>
    </xf>
    <xf numFmtId="0" fontId="14" fillId="0" borderId="15" xfId="0" applyFont="1" applyFill="1" applyBorder="1" applyAlignment="1" applyProtection="1">
      <alignment horizontal="center" vertical="center"/>
    </xf>
    <xf numFmtId="0" fontId="14" fillId="0" borderId="40" xfId="0" applyFont="1" applyFill="1" applyBorder="1" applyAlignment="1" applyProtection="1">
      <alignment horizontal="center" vertical="center"/>
    </xf>
    <xf numFmtId="0" fontId="14" fillId="0" borderId="16" xfId="0" applyFont="1" applyFill="1" applyBorder="1" applyAlignment="1" applyProtection="1">
      <alignment horizontal="center" vertical="center"/>
    </xf>
    <xf numFmtId="0" fontId="18" fillId="0" borderId="15" xfId="0" applyFont="1" applyFill="1" applyBorder="1" applyAlignment="1" applyProtection="1">
      <alignment horizontal="center" vertical="center" wrapText="1"/>
    </xf>
    <xf numFmtId="0" fontId="18" fillId="0" borderId="40" xfId="0" applyFont="1" applyFill="1" applyBorder="1" applyAlignment="1" applyProtection="1">
      <alignment horizontal="center" vertical="center" wrapText="1"/>
    </xf>
    <xf numFmtId="0" fontId="18" fillId="0" borderId="16" xfId="0" applyFont="1" applyFill="1" applyBorder="1" applyAlignment="1" applyProtection="1">
      <alignment horizontal="center" vertical="center" wrapText="1"/>
    </xf>
    <xf numFmtId="0" fontId="14" fillId="0" borderId="15" xfId="0" applyFont="1" applyFill="1" applyBorder="1" applyAlignment="1">
      <alignment horizontal="center" vertical="center"/>
    </xf>
    <xf numFmtId="0" fontId="14" fillId="0" borderId="40" xfId="0" applyFont="1" applyFill="1" applyBorder="1" applyAlignment="1">
      <alignment horizontal="center" vertical="center"/>
    </xf>
    <xf numFmtId="0" fontId="14" fillId="0" borderId="16" xfId="0" applyFont="1" applyFill="1" applyBorder="1" applyAlignment="1">
      <alignment horizontal="center" vertical="center"/>
    </xf>
    <xf numFmtId="170" fontId="12" fillId="0" borderId="15" xfId="0" applyNumberFormat="1" applyFont="1" applyFill="1" applyBorder="1" applyAlignment="1" applyProtection="1">
      <alignment horizontal="center" vertical="center"/>
    </xf>
    <xf numFmtId="170" fontId="12" fillId="0" borderId="40" xfId="0" applyNumberFormat="1" applyFont="1" applyFill="1" applyBorder="1" applyAlignment="1" applyProtection="1">
      <alignment horizontal="center" vertical="center"/>
    </xf>
    <xf numFmtId="170" fontId="12" fillId="0" borderId="16" xfId="0" applyNumberFormat="1" applyFont="1" applyFill="1" applyBorder="1" applyAlignment="1" applyProtection="1">
      <alignment horizontal="center" vertical="center"/>
    </xf>
    <xf numFmtId="0" fontId="17" fillId="0" borderId="15" xfId="0" applyFont="1" applyFill="1" applyBorder="1" applyAlignment="1" applyProtection="1">
      <alignment horizontal="center" vertical="center" wrapText="1"/>
    </xf>
    <xf numFmtId="0" fontId="17" fillId="0" borderId="40" xfId="0" applyFont="1" applyFill="1" applyBorder="1" applyAlignment="1" applyProtection="1">
      <alignment horizontal="center" vertical="center" wrapText="1"/>
    </xf>
    <xf numFmtId="0" fontId="17" fillId="0" borderId="16" xfId="0" applyFont="1" applyFill="1" applyBorder="1" applyAlignment="1" applyProtection="1">
      <alignment horizontal="center" vertical="center" wrapText="1"/>
    </xf>
    <xf numFmtId="0" fontId="13" fillId="0" borderId="40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18" fillId="0" borderId="1" xfId="0" applyFont="1" applyFill="1" applyBorder="1" applyAlignment="1" applyProtection="1">
      <alignment horizontal="center" vertical="center" wrapText="1"/>
    </xf>
    <xf numFmtId="0" fontId="17" fillId="0" borderId="1" xfId="0" applyFont="1" applyFill="1" applyBorder="1" applyAlignment="1" applyProtection="1">
      <alignment horizontal="center" vertical="center" wrapText="1"/>
    </xf>
    <xf numFmtId="0" fontId="12" fillId="0" borderId="1" xfId="0" applyFont="1" applyBorder="1" applyAlignment="1" applyProtection="1">
      <alignment horizontal="left" vertical="center" wrapText="1"/>
    </xf>
  </cellXfs>
  <cellStyles count="3287">
    <cellStyle name="Гиперссылка" xfId="2" builtinId="8"/>
    <cellStyle name="Гиперссылка 2" xfId="8"/>
    <cellStyle name="Денежный 2" xfId="13"/>
    <cellStyle name="Денежный 3" xfId="14"/>
    <cellStyle name="Денежный 3 2" xfId="26"/>
    <cellStyle name="Денежный 3 3" xfId="33"/>
    <cellStyle name="Денежный 3 3 2" xfId="128"/>
    <cellStyle name="Денежный 3 3 3" xfId="80"/>
    <cellStyle name="Денежный 4" xfId="7"/>
    <cellStyle name="Денежный 4 2" xfId="16"/>
    <cellStyle name="Денежный 4 3" xfId="15"/>
    <cellStyle name="Денежный 5" xfId="115"/>
    <cellStyle name="Денежный 6" xfId="9"/>
    <cellStyle name="Обычный" xfId="0" builtinId="0"/>
    <cellStyle name="Обычный 2" xfId="10"/>
    <cellStyle name="Обычный 2 10" xfId="306"/>
    <cellStyle name="Обычный 2 10 2" xfId="849"/>
    <cellStyle name="Обычный 2 10 2 2" xfId="2463"/>
    <cellStyle name="Обычный 2 10 3" xfId="1385"/>
    <cellStyle name="Обычный 2 10 3 2" xfId="2999"/>
    <cellStyle name="Обычный 2 10 4" xfId="1921"/>
    <cellStyle name="Обычный 2 11" xfId="575"/>
    <cellStyle name="Обычный 2 11 2" xfId="2189"/>
    <cellStyle name="Обычный 2 12" xfId="1117"/>
    <cellStyle name="Обычный 2 12 2" xfId="2731"/>
    <cellStyle name="Обычный 2 13" xfId="1653"/>
    <cellStyle name="Обычный 2 2" xfId="6"/>
    <cellStyle name="Обычный 2 3" xfId="23"/>
    <cellStyle name="Обычный 2 3 10" xfId="311"/>
    <cellStyle name="Обычный 2 3 10 2" xfId="854"/>
    <cellStyle name="Обычный 2 3 10 2 2" xfId="2468"/>
    <cellStyle name="Обычный 2 3 10 3" xfId="1390"/>
    <cellStyle name="Обычный 2 3 10 3 2" xfId="3004"/>
    <cellStyle name="Обычный 2 3 10 4" xfId="1926"/>
    <cellStyle name="Обычный 2 3 11" xfId="582"/>
    <cellStyle name="Обычный 2 3 11 2" xfId="2196"/>
    <cellStyle name="Обычный 2 3 12" xfId="1122"/>
    <cellStyle name="Обычный 2 3 12 2" xfId="2736"/>
    <cellStyle name="Обычный 2 3 13" xfId="1658"/>
    <cellStyle name="Обычный 2 3 2" xfId="46"/>
    <cellStyle name="Обычный 2 3 2 2" xfId="64"/>
    <cellStyle name="Обычный 2 3 2 2 2" xfId="159"/>
    <cellStyle name="Обычный 2 3 2 2 2 2" xfId="298"/>
    <cellStyle name="Обычный 2 3 2 2 2 2 2" xfId="566"/>
    <cellStyle name="Обычный 2 3 2 2 2 2 2 2" xfId="1109"/>
    <cellStyle name="Обычный 2 3 2 2 2 2 2 2 2" xfId="2723"/>
    <cellStyle name="Обычный 2 3 2 2 2 2 2 3" xfId="1645"/>
    <cellStyle name="Обычный 2 3 2 2 2 2 2 3 2" xfId="3259"/>
    <cellStyle name="Обычный 2 3 2 2 2 2 2 4" xfId="2181"/>
    <cellStyle name="Обычный 2 3 2 2 2 2 3" xfId="841"/>
    <cellStyle name="Обычный 2 3 2 2 2 2 3 2" xfId="2455"/>
    <cellStyle name="Обычный 2 3 2 2 2 2 4" xfId="1377"/>
    <cellStyle name="Обычный 2 3 2 2 2 2 4 2" xfId="2991"/>
    <cellStyle name="Обычный 2 3 2 2 2 2 5" xfId="1913"/>
    <cellStyle name="Обычный 2 3 2 2 2 3" xfId="434"/>
    <cellStyle name="Обычный 2 3 2 2 2 3 2" xfId="977"/>
    <cellStyle name="Обычный 2 3 2 2 2 3 2 2" xfId="2591"/>
    <cellStyle name="Обычный 2 3 2 2 2 3 3" xfId="1513"/>
    <cellStyle name="Обычный 2 3 2 2 2 3 3 2" xfId="3127"/>
    <cellStyle name="Обычный 2 3 2 2 2 3 4" xfId="2049"/>
    <cellStyle name="Обычный 2 3 2 2 2 4" xfId="709"/>
    <cellStyle name="Обычный 2 3 2 2 2 4 2" xfId="2323"/>
    <cellStyle name="Обычный 2 3 2 2 2 5" xfId="1245"/>
    <cellStyle name="Обычный 2 3 2 2 2 5 2" xfId="2859"/>
    <cellStyle name="Обычный 2 3 2 2 2 6" xfId="1781"/>
    <cellStyle name="Обычный 2 3 2 2 3" xfId="111"/>
    <cellStyle name="Обычный 2 3 2 2 3 2" xfId="253"/>
    <cellStyle name="Обычный 2 3 2 2 3 2 2" xfId="522"/>
    <cellStyle name="Обычный 2 3 2 2 3 2 2 2" xfId="1065"/>
    <cellStyle name="Обычный 2 3 2 2 3 2 2 2 2" xfId="2679"/>
    <cellStyle name="Обычный 2 3 2 2 3 2 2 3" xfId="1601"/>
    <cellStyle name="Обычный 2 3 2 2 3 2 2 3 2" xfId="3215"/>
    <cellStyle name="Обычный 2 3 2 2 3 2 2 4" xfId="2137"/>
    <cellStyle name="Обычный 2 3 2 2 3 2 3" xfId="797"/>
    <cellStyle name="Обычный 2 3 2 2 3 2 3 2" xfId="2411"/>
    <cellStyle name="Обычный 2 3 2 2 3 2 4" xfId="1333"/>
    <cellStyle name="Обычный 2 3 2 2 3 2 4 2" xfId="2947"/>
    <cellStyle name="Обычный 2 3 2 2 3 2 5" xfId="1869"/>
    <cellStyle name="Обычный 2 3 2 2 3 3" xfId="390"/>
    <cellStyle name="Обычный 2 3 2 2 3 3 2" xfId="933"/>
    <cellStyle name="Обычный 2 3 2 2 3 3 2 2" xfId="2547"/>
    <cellStyle name="Обычный 2 3 2 2 3 3 3" xfId="1469"/>
    <cellStyle name="Обычный 2 3 2 2 3 3 3 2" xfId="3083"/>
    <cellStyle name="Обычный 2 3 2 2 3 3 4" xfId="2005"/>
    <cellStyle name="Обычный 2 3 2 2 3 4" xfId="664"/>
    <cellStyle name="Обычный 2 3 2 2 3 4 2" xfId="2278"/>
    <cellStyle name="Обычный 2 3 2 2 3 5" xfId="1201"/>
    <cellStyle name="Обычный 2 3 2 2 3 5 2" xfId="2815"/>
    <cellStyle name="Обычный 2 3 2 2 3 6" xfId="1737"/>
    <cellStyle name="Обычный 2 3 2 2 4" xfId="208"/>
    <cellStyle name="Обычный 2 3 2 2 4 2" xfId="478"/>
    <cellStyle name="Обычный 2 3 2 2 4 2 2" xfId="1021"/>
    <cellStyle name="Обычный 2 3 2 2 4 2 2 2" xfId="2635"/>
    <cellStyle name="Обычный 2 3 2 2 4 2 3" xfId="1557"/>
    <cellStyle name="Обычный 2 3 2 2 4 2 3 2" xfId="3171"/>
    <cellStyle name="Обычный 2 3 2 2 4 2 4" xfId="2093"/>
    <cellStyle name="Обычный 2 3 2 2 4 3" xfId="753"/>
    <cellStyle name="Обычный 2 3 2 2 4 3 2" xfId="2367"/>
    <cellStyle name="Обычный 2 3 2 2 4 4" xfId="1289"/>
    <cellStyle name="Обычный 2 3 2 2 4 4 2" xfId="2903"/>
    <cellStyle name="Обычный 2 3 2 2 4 5" xfId="1825"/>
    <cellStyle name="Обычный 2 3 2 2 5" xfId="346"/>
    <cellStyle name="Обычный 2 3 2 2 5 2" xfId="889"/>
    <cellStyle name="Обычный 2 3 2 2 5 2 2" xfId="2503"/>
    <cellStyle name="Обычный 2 3 2 2 5 3" xfId="1425"/>
    <cellStyle name="Обычный 2 3 2 2 5 3 2" xfId="3039"/>
    <cellStyle name="Обычный 2 3 2 2 5 4" xfId="1961"/>
    <cellStyle name="Обычный 2 3 2 2 6" xfId="619"/>
    <cellStyle name="Обычный 2 3 2 2 6 2" xfId="2233"/>
    <cellStyle name="Обычный 2 3 2 2 7" xfId="1157"/>
    <cellStyle name="Обычный 2 3 2 2 7 2" xfId="2771"/>
    <cellStyle name="Обычный 2 3 2 2 8" xfId="1693"/>
    <cellStyle name="Обычный 2 3 2 3" xfId="141"/>
    <cellStyle name="Обычный 2 3 2 3 2" xfId="280"/>
    <cellStyle name="Обычный 2 3 2 3 2 2" xfId="548"/>
    <cellStyle name="Обычный 2 3 2 3 2 2 2" xfId="1091"/>
    <cellStyle name="Обычный 2 3 2 3 2 2 2 2" xfId="2705"/>
    <cellStyle name="Обычный 2 3 2 3 2 2 3" xfId="1627"/>
    <cellStyle name="Обычный 2 3 2 3 2 2 3 2" xfId="3241"/>
    <cellStyle name="Обычный 2 3 2 3 2 2 4" xfId="2163"/>
    <cellStyle name="Обычный 2 3 2 3 2 3" xfId="823"/>
    <cellStyle name="Обычный 2 3 2 3 2 3 2" xfId="2437"/>
    <cellStyle name="Обычный 2 3 2 3 2 4" xfId="1359"/>
    <cellStyle name="Обычный 2 3 2 3 2 4 2" xfId="2973"/>
    <cellStyle name="Обычный 2 3 2 3 2 5" xfId="1895"/>
    <cellStyle name="Обычный 2 3 2 3 3" xfId="416"/>
    <cellStyle name="Обычный 2 3 2 3 3 2" xfId="959"/>
    <cellStyle name="Обычный 2 3 2 3 3 2 2" xfId="2573"/>
    <cellStyle name="Обычный 2 3 2 3 3 3" xfId="1495"/>
    <cellStyle name="Обычный 2 3 2 3 3 3 2" xfId="3109"/>
    <cellStyle name="Обычный 2 3 2 3 3 4" xfId="2031"/>
    <cellStyle name="Обычный 2 3 2 3 4" xfId="691"/>
    <cellStyle name="Обычный 2 3 2 3 4 2" xfId="2305"/>
    <cellStyle name="Обычный 2 3 2 3 5" xfId="1227"/>
    <cellStyle name="Обычный 2 3 2 3 5 2" xfId="2841"/>
    <cellStyle name="Обычный 2 3 2 3 6" xfId="1763"/>
    <cellStyle name="Обычный 2 3 2 4" xfId="93"/>
    <cellStyle name="Обычный 2 3 2 4 2" xfId="235"/>
    <cellStyle name="Обычный 2 3 2 4 2 2" xfId="504"/>
    <cellStyle name="Обычный 2 3 2 4 2 2 2" xfId="1047"/>
    <cellStyle name="Обычный 2 3 2 4 2 2 2 2" xfId="2661"/>
    <cellStyle name="Обычный 2 3 2 4 2 2 3" xfId="1583"/>
    <cellStyle name="Обычный 2 3 2 4 2 2 3 2" xfId="3197"/>
    <cellStyle name="Обычный 2 3 2 4 2 2 4" xfId="2119"/>
    <cellStyle name="Обычный 2 3 2 4 2 3" xfId="779"/>
    <cellStyle name="Обычный 2 3 2 4 2 3 2" xfId="2393"/>
    <cellStyle name="Обычный 2 3 2 4 2 4" xfId="1315"/>
    <cellStyle name="Обычный 2 3 2 4 2 4 2" xfId="2929"/>
    <cellStyle name="Обычный 2 3 2 4 2 5" xfId="1851"/>
    <cellStyle name="Обычный 2 3 2 4 3" xfId="372"/>
    <cellStyle name="Обычный 2 3 2 4 3 2" xfId="915"/>
    <cellStyle name="Обычный 2 3 2 4 3 2 2" xfId="2529"/>
    <cellStyle name="Обычный 2 3 2 4 3 3" xfId="1451"/>
    <cellStyle name="Обычный 2 3 2 4 3 3 2" xfId="3065"/>
    <cellStyle name="Обычный 2 3 2 4 3 4" xfId="1987"/>
    <cellStyle name="Обычный 2 3 2 4 4" xfId="646"/>
    <cellStyle name="Обычный 2 3 2 4 4 2" xfId="2260"/>
    <cellStyle name="Обычный 2 3 2 4 5" xfId="1183"/>
    <cellStyle name="Обычный 2 3 2 4 5 2" xfId="2797"/>
    <cellStyle name="Обычный 2 3 2 4 6" xfId="1719"/>
    <cellStyle name="Обычный 2 3 2 5" xfId="190"/>
    <cellStyle name="Обычный 2 3 2 5 2" xfId="460"/>
    <cellStyle name="Обычный 2 3 2 5 2 2" xfId="1003"/>
    <cellStyle name="Обычный 2 3 2 5 2 2 2" xfId="2617"/>
    <cellStyle name="Обычный 2 3 2 5 2 3" xfId="1539"/>
    <cellStyle name="Обычный 2 3 2 5 2 3 2" xfId="3153"/>
    <cellStyle name="Обычный 2 3 2 5 2 4" xfId="2075"/>
    <cellStyle name="Обычный 2 3 2 5 3" xfId="735"/>
    <cellStyle name="Обычный 2 3 2 5 3 2" xfId="2349"/>
    <cellStyle name="Обычный 2 3 2 5 4" xfId="1271"/>
    <cellStyle name="Обычный 2 3 2 5 4 2" xfId="2885"/>
    <cellStyle name="Обычный 2 3 2 5 5" xfId="1807"/>
    <cellStyle name="Обычный 2 3 2 6" xfId="328"/>
    <cellStyle name="Обычный 2 3 2 6 2" xfId="871"/>
    <cellStyle name="Обычный 2 3 2 6 2 2" xfId="2485"/>
    <cellStyle name="Обычный 2 3 2 6 3" xfId="1407"/>
    <cellStyle name="Обычный 2 3 2 6 3 2" xfId="3021"/>
    <cellStyle name="Обычный 2 3 2 6 4" xfId="1943"/>
    <cellStyle name="Обычный 2 3 2 7" xfId="601"/>
    <cellStyle name="Обычный 2 3 2 7 2" xfId="2215"/>
    <cellStyle name="Обычный 2 3 2 8" xfId="1139"/>
    <cellStyle name="Обычный 2 3 2 8 2" xfId="2753"/>
    <cellStyle name="Обычный 2 3 2 9" xfId="1675"/>
    <cellStyle name="Обычный 2 3 3" xfId="37"/>
    <cellStyle name="Обычный 2 3 3 2" xfId="132"/>
    <cellStyle name="Обычный 2 3 3 2 2" xfId="271"/>
    <cellStyle name="Обычный 2 3 3 2 2 2" xfId="539"/>
    <cellStyle name="Обычный 2 3 3 2 2 2 2" xfId="1082"/>
    <cellStyle name="Обычный 2 3 3 2 2 2 2 2" xfId="2696"/>
    <cellStyle name="Обычный 2 3 3 2 2 2 3" xfId="1618"/>
    <cellStyle name="Обычный 2 3 3 2 2 2 3 2" xfId="3232"/>
    <cellStyle name="Обычный 2 3 3 2 2 2 4" xfId="2154"/>
    <cellStyle name="Обычный 2 3 3 2 2 3" xfId="814"/>
    <cellStyle name="Обычный 2 3 3 2 2 3 2" xfId="2428"/>
    <cellStyle name="Обычный 2 3 3 2 2 4" xfId="1350"/>
    <cellStyle name="Обычный 2 3 3 2 2 4 2" xfId="2964"/>
    <cellStyle name="Обычный 2 3 3 2 2 5" xfId="1886"/>
    <cellStyle name="Обычный 2 3 3 2 3" xfId="407"/>
    <cellStyle name="Обычный 2 3 3 2 3 2" xfId="950"/>
    <cellStyle name="Обычный 2 3 3 2 3 2 2" xfId="2564"/>
    <cellStyle name="Обычный 2 3 3 2 3 3" xfId="1486"/>
    <cellStyle name="Обычный 2 3 3 2 3 3 2" xfId="3100"/>
    <cellStyle name="Обычный 2 3 3 2 3 4" xfId="2022"/>
    <cellStyle name="Обычный 2 3 3 2 4" xfId="682"/>
    <cellStyle name="Обычный 2 3 3 2 4 2" xfId="2296"/>
    <cellStyle name="Обычный 2 3 3 2 5" xfId="1218"/>
    <cellStyle name="Обычный 2 3 3 2 5 2" xfId="2832"/>
    <cellStyle name="Обычный 2 3 3 2 6" xfId="1754"/>
    <cellStyle name="Обычный 2 3 3 3" xfId="84"/>
    <cellStyle name="Обычный 2 3 3 3 2" xfId="226"/>
    <cellStyle name="Обычный 2 3 3 3 2 2" xfId="495"/>
    <cellStyle name="Обычный 2 3 3 3 2 2 2" xfId="1038"/>
    <cellStyle name="Обычный 2 3 3 3 2 2 2 2" xfId="2652"/>
    <cellStyle name="Обычный 2 3 3 3 2 2 3" xfId="1574"/>
    <cellStyle name="Обычный 2 3 3 3 2 2 3 2" xfId="3188"/>
    <cellStyle name="Обычный 2 3 3 3 2 2 4" xfId="2110"/>
    <cellStyle name="Обычный 2 3 3 3 2 3" xfId="770"/>
    <cellStyle name="Обычный 2 3 3 3 2 3 2" xfId="2384"/>
    <cellStyle name="Обычный 2 3 3 3 2 4" xfId="1306"/>
    <cellStyle name="Обычный 2 3 3 3 2 4 2" xfId="2920"/>
    <cellStyle name="Обычный 2 3 3 3 2 5" xfId="1842"/>
    <cellStyle name="Обычный 2 3 3 3 3" xfId="363"/>
    <cellStyle name="Обычный 2 3 3 3 3 2" xfId="906"/>
    <cellStyle name="Обычный 2 3 3 3 3 2 2" xfId="2520"/>
    <cellStyle name="Обычный 2 3 3 3 3 3" xfId="1442"/>
    <cellStyle name="Обычный 2 3 3 3 3 3 2" xfId="3056"/>
    <cellStyle name="Обычный 2 3 3 3 3 4" xfId="1978"/>
    <cellStyle name="Обычный 2 3 3 3 4" xfId="637"/>
    <cellStyle name="Обычный 2 3 3 3 4 2" xfId="2251"/>
    <cellStyle name="Обычный 2 3 3 3 5" xfId="1174"/>
    <cellStyle name="Обычный 2 3 3 3 5 2" xfId="2788"/>
    <cellStyle name="Обычный 2 3 3 3 6" xfId="1710"/>
    <cellStyle name="Обычный 2 3 3 4" xfId="181"/>
    <cellStyle name="Обычный 2 3 3 4 2" xfId="451"/>
    <cellStyle name="Обычный 2 3 3 4 2 2" xfId="994"/>
    <cellStyle name="Обычный 2 3 3 4 2 2 2" xfId="2608"/>
    <cellStyle name="Обычный 2 3 3 4 2 3" xfId="1530"/>
    <cellStyle name="Обычный 2 3 3 4 2 3 2" xfId="3144"/>
    <cellStyle name="Обычный 2 3 3 4 2 4" xfId="2066"/>
    <cellStyle name="Обычный 2 3 3 4 3" xfId="726"/>
    <cellStyle name="Обычный 2 3 3 4 3 2" xfId="2340"/>
    <cellStyle name="Обычный 2 3 3 4 4" xfId="1262"/>
    <cellStyle name="Обычный 2 3 3 4 4 2" xfId="2876"/>
    <cellStyle name="Обычный 2 3 3 4 5" xfId="1798"/>
    <cellStyle name="Обычный 2 3 3 5" xfId="319"/>
    <cellStyle name="Обычный 2 3 3 5 2" xfId="862"/>
    <cellStyle name="Обычный 2 3 3 5 2 2" xfId="2476"/>
    <cellStyle name="Обычный 2 3 3 5 3" xfId="1398"/>
    <cellStyle name="Обычный 2 3 3 5 3 2" xfId="3012"/>
    <cellStyle name="Обычный 2 3 3 5 4" xfId="1934"/>
    <cellStyle name="Обычный 2 3 3 6" xfId="592"/>
    <cellStyle name="Обычный 2 3 3 6 2" xfId="2206"/>
    <cellStyle name="Обычный 2 3 3 7" xfId="1130"/>
    <cellStyle name="Обычный 2 3 3 7 2" xfId="2744"/>
    <cellStyle name="Обычный 2 3 3 8" xfId="1666"/>
    <cellStyle name="Обычный 2 3 4" xfId="54"/>
    <cellStyle name="Обычный 2 3 4 2" xfId="149"/>
    <cellStyle name="Обычный 2 3 4 2 2" xfId="288"/>
    <cellStyle name="Обычный 2 3 4 2 2 2" xfId="556"/>
    <cellStyle name="Обычный 2 3 4 2 2 2 2" xfId="1099"/>
    <cellStyle name="Обычный 2 3 4 2 2 2 2 2" xfId="2713"/>
    <cellStyle name="Обычный 2 3 4 2 2 2 3" xfId="1635"/>
    <cellStyle name="Обычный 2 3 4 2 2 2 3 2" xfId="3249"/>
    <cellStyle name="Обычный 2 3 4 2 2 2 4" xfId="2171"/>
    <cellStyle name="Обычный 2 3 4 2 2 3" xfId="831"/>
    <cellStyle name="Обычный 2 3 4 2 2 3 2" xfId="2445"/>
    <cellStyle name="Обычный 2 3 4 2 2 4" xfId="1367"/>
    <cellStyle name="Обычный 2 3 4 2 2 4 2" xfId="2981"/>
    <cellStyle name="Обычный 2 3 4 2 2 5" xfId="1903"/>
    <cellStyle name="Обычный 2 3 4 2 3" xfId="424"/>
    <cellStyle name="Обычный 2 3 4 2 3 2" xfId="967"/>
    <cellStyle name="Обычный 2 3 4 2 3 2 2" xfId="2581"/>
    <cellStyle name="Обычный 2 3 4 2 3 3" xfId="1503"/>
    <cellStyle name="Обычный 2 3 4 2 3 3 2" xfId="3117"/>
    <cellStyle name="Обычный 2 3 4 2 3 4" xfId="2039"/>
    <cellStyle name="Обычный 2 3 4 2 4" xfId="699"/>
    <cellStyle name="Обычный 2 3 4 2 4 2" xfId="2313"/>
    <cellStyle name="Обычный 2 3 4 2 5" xfId="1235"/>
    <cellStyle name="Обычный 2 3 4 2 5 2" xfId="2849"/>
    <cellStyle name="Обычный 2 3 4 2 6" xfId="1771"/>
    <cellStyle name="Обычный 2 3 4 3" xfId="101"/>
    <cellStyle name="Обычный 2 3 4 3 2" xfId="243"/>
    <cellStyle name="Обычный 2 3 4 3 2 2" xfId="512"/>
    <cellStyle name="Обычный 2 3 4 3 2 2 2" xfId="1055"/>
    <cellStyle name="Обычный 2 3 4 3 2 2 2 2" xfId="2669"/>
    <cellStyle name="Обычный 2 3 4 3 2 2 3" xfId="1591"/>
    <cellStyle name="Обычный 2 3 4 3 2 2 3 2" xfId="3205"/>
    <cellStyle name="Обычный 2 3 4 3 2 2 4" xfId="2127"/>
    <cellStyle name="Обычный 2 3 4 3 2 3" xfId="787"/>
    <cellStyle name="Обычный 2 3 4 3 2 3 2" xfId="2401"/>
    <cellStyle name="Обычный 2 3 4 3 2 4" xfId="1323"/>
    <cellStyle name="Обычный 2 3 4 3 2 4 2" xfId="2937"/>
    <cellStyle name="Обычный 2 3 4 3 2 5" xfId="1859"/>
    <cellStyle name="Обычный 2 3 4 3 3" xfId="380"/>
    <cellStyle name="Обычный 2 3 4 3 3 2" xfId="923"/>
    <cellStyle name="Обычный 2 3 4 3 3 2 2" xfId="2537"/>
    <cellStyle name="Обычный 2 3 4 3 3 3" xfId="1459"/>
    <cellStyle name="Обычный 2 3 4 3 3 3 2" xfId="3073"/>
    <cellStyle name="Обычный 2 3 4 3 3 4" xfId="1995"/>
    <cellStyle name="Обычный 2 3 4 3 4" xfId="654"/>
    <cellStyle name="Обычный 2 3 4 3 4 2" xfId="2268"/>
    <cellStyle name="Обычный 2 3 4 3 5" xfId="1191"/>
    <cellStyle name="Обычный 2 3 4 3 5 2" xfId="2805"/>
    <cellStyle name="Обычный 2 3 4 3 6" xfId="1727"/>
    <cellStyle name="Обычный 2 3 4 4" xfId="198"/>
    <cellStyle name="Обычный 2 3 4 4 2" xfId="468"/>
    <cellStyle name="Обычный 2 3 4 4 2 2" xfId="1011"/>
    <cellStyle name="Обычный 2 3 4 4 2 2 2" xfId="2625"/>
    <cellStyle name="Обычный 2 3 4 4 2 3" xfId="1547"/>
    <cellStyle name="Обычный 2 3 4 4 2 3 2" xfId="3161"/>
    <cellStyle name="Обычный 2 3 4 4 2 4" xfId="2083"/>
    <cellStyle name="Обычный 2 3 4 4 3" xfId="743"/>
    <cellStyle name="Обычный 2 3 4 4 3 2" xfId="2357"/>
    <cellStyle name="Обычный 2 3 4 4 4" xfId="1279"/>
    <cellStyle name="Обычный 2 3 4 4 4 2" xfId="2893"/>
    <cellStyle name="Обычный 2 3 4 4 5" xfId="1815"/>
    <cellStyle name="Обычный 2 3 4 5" xfId="336"/>
    <cellStyle name="Обычный 2 3 4 5 2" xfId="879"/>
    <cellStyle name="Обычный 2 3 4 5 2 2" xfId="2493"/>
    <cellStyle name="Обычный 2 3 4 5 3" xfId="1415"/>
    <cellStyle name="Обычный 2 3 4 5 3 2" xfId="3029"/>
    <cellStyle name="Обычный 2 3 4 5 4" xfId="1951"/>
    <cellStyle name="Обычный 2 3 4 6" xfId="609"/>
    <cellStyle name="Обычный 2 3 4 6 2" xfId="2223"/>
    <cellStyle name="Обычный 2 3 4 7" xfId="1147"/>
    <cellStyle name="Обычный 2 3 4 7 2" xfId="2761"/>
    <cellStyle name="Обычный 2 3 4 8" xfId="1683"/>
    <cellStyle name="Обычный 2 3 5" xfId="121"/>
    <cellStyle name="Обычный 2 3 5 2" xfId="262"/>
    <cellStyle name="Обычный 2 3 5 2 2" xfId="531"/>
    <cellStyle name="Обычный 2 3 5 2 2 2" xfId="1074"/>
    <cellStyle name="Обычный 2 3 5 2 2 2 2" xfId="2688"/>
    <cellStyle name="Обычный 2 3 5 2 2 3" xfId="1610"/>
    <cellStyle name="Обычный 2 3 5 2 2 3 2" xfId="3224"/>
    <cellStyle name="Обычный 2 3 5 2 2 4" xfId="2146"/>
    <cellStyle name="Обычный 2 3 5 2 3" xfId="806"/>
    <cellStyle name="Обычный 2 3 5 2 3 2" xfId="2420"/>
    <cellStyle name="Обычный 2 3 5 2 4" xfId="1342"/>
    <cellStyle name="Обычный 2 3 5 2 4 2" xfId="2956"/>
    <cellStyle name="Обычный 2 3 5 2 5" xfId="1878"/>
    <cellStyle name="Обычный 2 3 5 3" xfId="399"/>
    <cellStyle name="Обычный 2 3 5 3 2" xfId="942"/>
    <cellStyle name="Обычный 2 3 5 3 2 2" xfId="2556"/>
    <cellStyle name="Обычный 2 3 5 3 3" xfId="1478"/>
    <cellStyle name="Обычный 2 3 5 3 3 2" xfId="3092"/>
    <cellStyle name="Обычный 2 3 5 3 4" xfId="2014"/>
    <cellStyle name="Обычный 2 3 5 4" xfId="673"/>
    <cellStyle name="Обычный 2 3 5 4 2" xfId="2287"/>
    <cellStyle name="Обычный 2 3 5 5" xfId="1210"/>
    <cellStyle name="Обычный 2 3 5 5 2" xfId="2824"/>
    <cellStyle name="Обычный 2 3 5 6" xfId="1746"/>
    <cellStyle name="Обычный 2 3 6" xfId="73"/>
    <cellStyle name="Обычный 2 3 6 2" xfId="217"/>
    <cellStyle name="Обычный 2 3 6 2 2" xfId="487"/>
    <cellStyle name="Обычный 2 3 6 2 2 2" xfId="1030"/>
    <cellStyle name="Обычный 2 3 6 2 2 2 2" xfId="2644"/>
    <cellStyle name="Обычный 2 3 6 2 2 3" xfId="1566"/>
    <cellStyle name="Обычный 2 3 6 2 2 3 2" xfId="3180"/>
    <cellStyle name="Обычный 2 3 6 2 2 4" xfId="2102"/>
    <cellStyle name="Обычный 2 3 6 2 3" xfId="762"/>
    <cellStyle name="Обычный 2 3 6 2 3 2" xfId="2376"/>
    <cellStyle name="Обычный 2 3 6 2 4" xfId="1298"/>
    <cellStyle name="Обычный 2 3 6 2 4 2" xfId="2912"/>
    <cellStyle name="Обычный 2 3 6 2 5" xfId="1834"/>
    <cellStyle name="Обычный 2 3 6 3" xfId="355"/>
    <cellStyle name="Обычный 2 3 6 3 2" xfId="898"/>
    <cellStyle name="Обычный 2 3 6 3 2 2" xfId="2512"/>
    <cellStyle name="Обычный 2 3 6 3 3" xfId="1434"/>
    <cellStyle name="Обычный 2 3 6 3 3 2" xfId="3048"/>
    <cellStyle name="Обычный 2 3 6 3 4" xfId="1970"/>
    <cellStyle name="Обычный 2 3 6 4" xfId="628"/>
    <cellStyle name="Обычный 2 3 6 4 2" xfId="2242"/>
    <cellStyle name="Обычный 2 3 6 5" xfId="1166"/>
    <cellStyle name="Обычный 2 3 6 5 2" xfId="2780"/>
    <cellStyle name="Обычный 2 3 6 6" xfId="1702"/>
    <cellStyle name="Обычный 2 3 7" xfId="171"/>
    <cellStyle name="Обычный 2 3 7 2" xfId="443"/>
    <cellStyle name="Обычный 2 3 7 2 2" xfId="986"/>
    <cellStyle name="Обычный 2 3 7 2 2 2" xfId="2600"/>
    <cellStyle name="Обычный 2 3 7 2 3" xfId="1522"/>
    <cellStyle name="Обычный 2 3 7 2 3 2" xfId="3136"/>
    <cellStyle name="Обычный 2 3 7 2 4" xfId="2058"/>
    <cellStyle name="Обычный 2 3 7 3" xfId="718"/>
    <cellStyle name="Обычный 2 3 7 3 2" xfId="2332"/>
    <cellStyle name="Обычный 2 3 7 4" xfId="1254"/>
    <cellStyle name="Обычный 2 3 7 4 2" xfId="2868"/>
    <cellStyle name="Обычный 2 3 7 5" xfId="1790"/>
    <cellStyle name="Обычный 2 3 8" xfId="302"/>
    <cellStyle name="Обычный 2 3 8 2" xfId="570"/>
    <cellStyle name="Обычный 2 3 8 2 2" xfId="1113"/>
    <cellStyle name="Обычный 2 3 8 2 2 2" xfId="2727"/>
    <cellStyle name="Обычный 2 3 8 2 3" xfId="1649"/>
    <cellStyle name="Обычный 2 3 8 2 3 2" xfId="3263"/>
    <cellStyle name="Обычный 2 3 8 2 4" xfId="2185"/>
    <cellStyle name="Обычный 2 3 8 3" xfId="845"/>
    <cellStyle name="Обычный 2 3 8 3 2" xfId="2459"/>
    <cellStyle name="Обычный 2 3 8 4" xfId="1381"/>
    <cellStyle name="Обычный 2 3 8 4 2" xfId="2995"/>
    <cellStyle name="Обычный 2 3 8 5" xfId="1917"/>
    <cellStyle name="Обычный 2 3 9" xfId="304"/>
    <cellStyle name="Обычный 2 3 9 2" xfId="572"/>
    <cellStyle name="Обычный 2 3 9 2 2" xfId="1115"/>
    <cellStyle name="Обычный 2 3 9 2 2 2" xfId="2729"/>
    <cellStyle name="Обычный 2 3 9 2 3" xfId="1651"/>
    <cellStyle name="Обычный 2 3 9 2 3 2" xfId="3265"/>
    <cellStyle name="Обычный 2 3 9 2 4" xfId="2187"/>
    <cellStyle name="Обычный 2 3 9 3" xfId="847"/>
    <cellStyle name="Обычный 2 3 9 3 2" xfId="2461"/>
    <cellStyle name="Обычный 2 3 9 4" xfId="1383"/>
    <cellStyle name="Обычный 2 3 9 4 2" xfId="2997"/>
    <cellStyle name="Обычный 2 3 9 5" xfId="1919"/>
    <cellStyle name="Обычный 2 4" xfId="41"/>
    <cellStyle name="Обычный 2 4 2" xfId="59"/>
    <cellStyle name="Обычный 2 4 2 2" xfId="154"/>
    <cellStyle name="Обычный 2 4 2 2 2" xfId="293"/>
    <cellStyle name="Обычный 2 4 2 2 2 2" xfId="561"/>
    <cellStyle name="Обычный 2 4 2 2 2 2 2" xfId="1104"/>
    <cellStyle name="Обычный 2 4 2 2 2 2 2 2" xfId="2718"/>
    <cellStyle name="Обычный 2 4 2 2 2 2 3" xfId="1640"/>
    <cellStyle name="Обычный 2 4 2 2 2 2 3 2" xfId="3254"/>
    <cellStyle name="Обычный 2 4 2 2 2 2 4" xfId="2176"/>
    <cellStyle name="Обычный 2 4 2 2 2 3" xfId="836"/>
    <cellStyle name="Обычный 2 4 2 2 2 3 2" xfId="2450"/>
    <cellStyle name="Обычный 2 4 2 2 2 4" xfId="1372"/>
    <cellStyle name="Обычный 2 4 2 2 2 4 2" xfId="2986"/>
    <cellStyle name="Обычный 2 4 2 2 2 5" xfId="1908"/>
    <cellStyle name="Обычный 2 4 2 2 3" xfId="429"/>
    <cellStyle name="Обычный 2 4 2 2 3 2" xfId="972"/>
    <cellStyle name="Обычный 2 4 2 2 3 2 2" xfId="2586"/>
    <cellStyle name="Обычный 2 4 2 2 3 3" xfId="1508"/>
    <cellStyle name="Обычный 2 4 2 2 3 3 2" xfId="3122"/>
    <cellStyle name="Обычный 2 4 2 2 3 4" xfId="2044"/>
    <cellStyle name="Обычный 2 4 2 2 4" xfId="704"/>
    <cellStyle name="Обычный 2 4 2 2 4 2" xfId="2318"/>
    <cellStyle name="Обычный 2 4 2 2 5" xfId="1240"/>
    <cellStyle name="Обычный 2 4 2 2 5 2" xfId="2854"/>
    <cellStyle name="Обычный 2 4 2 2 6" xfId="1776"/>
    <cellStyle name="Обычный 2 4 2 3" xfId="106"/>
    <cellStyle name="Обычный 2 4 2 3 2" xfId="248"/>
    <cellStyle name="Обычный 2 4 2 3 2 2" xfId="517"/>
    <cellStyle name="Обычный 2 4 2 3 2 2 2" xfId="1060"/>
    <cellStyle name="Обычный 2 4 2 3 2 2 2 2" xfId="2674"/>
    <cellStyle name="Обычный 2 4 2 3 2 2 3" xfId="1596"/>
    <cellStyle name="Обычный 2 4 2 3 2 2 3 2" xfId="3210"/>
    <cellStyle name="Обычный 2 4 2 3 2 2 4" xfId="2132"/>
    <cellStyle name="Обычный 2 4 2 3 2 3" xfId="792"/>
    <cellStyle name="Обычный 2 4 2 3 2 3 2" xfId="2406"/>
    <cellStyle name="Обычный 2 4 2 3 2 4" xfId="1328"/>
    <cellStyle name="Обычный 2 4 2 3 2 4 2" xfId="2942"/>
    <cellStyle name="Обычный 2 4 2 3 2 5" xfId="1864"/>
    <cellStyle name="Обычный 2 4 2 3 3" xfId="385"/>
    <cellStyle name="Обычный 2 4 2 3 3 2" xfId="928"/>
    <cellStyle name="Обычный 2 4 2 3 3 2 2" xfId="2542"/>
    <cellStyle name="Обычный 2 4 2 3 3 3" xfId="1464"/>
    <cellStyle name="Обычный 2 4 2 3 3 3 2" xfId="3078"/>
    <cellStyle name="Обычный 2 4 2 3 3 4" xfId="2000"/>
    <cellStyle name="Обычный 2 4 2 3 4" xfId="659"/>
    <cellStyle name="Обычный 2 4 2 3 4 2" xfId="2273"/>
    <cellStyle name="Обычный 2 4 2 3 5" xfId="1196"/>
    <cellStyle name="Обычный 2 4 2 3 5 2" xfId="2810"/>
    <cellStyle name="Обычный 2 4 2 3 6" xfId="1732"/>
    <cellStyle name="Обычный 2 4 2 4" xfId="203"/>
    <cellStyle name="Обычный 2 4 2 4 2" xfId="473"/>
    <cellStyle name="Обычный 2 4 2 4 2 2" xfId="1016"/>
    <cellStyle name="Обычный 2 4 2 4 2 2 2" xfId="2630"/>
    <cellStyle name="Обычный 2 4 2 4 2 3" xfId="1552"/>
    <cellStyle name="Обычный 2 4 2 4 2 3 2" xfId="3166"/>
    <cellStyle name="Обычный 2 4 2 4 2 4" xfId="2088"/>
    <cellStyle name="Обычный 2 4 2 4 3" xfId="748"/>
    <cellStyle name="Обычный 2 4 2 4 3 2" xfId="2362"/>
    <cellStyle name="Обычный 2 4 2 4 4" xfId="1284"/>
    <cellStyle name="Обычный 2 4 2 4 4 2" xfId="2898"/>
    <cellStyle name="Обычный 2 4 2 4 5" xfId="1820"/>
    <cellStyle name="Обычный 2 4 2 5" xfId="341"/>
    <cellStyle name="Обычный 2 4 2 5 2" xfId="884"/>
    <cellStyle name="Обычный 2 4 2 5 2 2" xfId="2498"/>
    <cellStyle name="Обычный 2 4 2 5 3" xfId="1420"/>
    <cellStyle name="Обычный 2 4 2 5 3 2" xfId="3034"/>
    <cellStyle name="Обычный 2 4 2 5 4" xfId="1956"/>
    <cellStyle name="Обычный 2 4 2 6" xfId="614"/>
    <cellStyle name="Обычный 2 4 2 6 2" xfId="2228"/>
    <cellStyle name="Обычный 2 4 2 7" xfId="1152"/>
    <cellStyle name="Обычный 2 4 2 7 2" xfId="2766"/>
    <cellStyle name="Обычный 2 4 2 8" xfId="1688"/>
    <cellStyle name="Обычный 2 4 3" xfId="136"/>
    <cellStyle name="Обычный 2 4 3 2" xfId="275"/>
    <cellStyle name="Обычный 2 4 3 2 2" xfId="543"/>
    <cellStyle name="Обычный 2 4 3 2 2 2" xfId="1086"/>
    <cellStyle name="Обычный 2 4 3 2 2 2 2" xfId="2700"/>
    <cellStyle name="Обычный 2 4 3 2 2 3" xfId="1622"/>
    <cellStyle name="Обычный 2 4 3 2 2 3 2" xfId="3236"/>
    <cellStyle name="Обычный 2 4 3 2 2 4" xfId="2158"/>
    <cellStyle name="Обычный 2 4 3 2 3" xfId="818"/>
    <cellStyle name="Обычный 2 4 3 2 3 2" xfId="2432"/>
    <cellStyle name="Обычный 2 4 3 2 4" xfId="1354"/>
    <cellStyle name="Обычный 2 4 3 2 4 2" xfId="2968"/>
    <cellStyle name="Обычный 2 4 3 2 5" xfId="1890"/>
    <cellStyle name="Обычный 2 4 3 3" xfId="411"/>
    <cellStyle name="Обычный 2 4 3 3 2" xfId="954"/>
    <cellStyle name="Обычный 2 4 3 3 2 2" xfId="2568"/>
    <cellStyle name="Обычный 2 4 3 3 3" xfId="1490"/>
    <cellStyle name="Обычный 2 4 3 3 3 2" xfId="3104"/>
    <cellStyle name="Обычный 2 4 3 3 4" xfId="2026"/>
    <cellStyle name="Обычный 2 4 3 4" xfId="686"/>
    <cellStyle name="Обычный 2 4 3 4 2" xfId="2300"/>
    <cellStyle name="Обычный 2 4 3 5" xfId="1222"/>
    <cellStyle name="Обычный 2 4 3 5 2" xfId="2836"/>
    <cellStyle name="Обычный 2 4 3 6" xfId="1758"/>
    <cellStyle name="Обычный 2 4 4" xfId="88"/>
    <cellStyle name="Обычный 2 4 4 2" xfId="230"/>
    <cellStyle name="Обычный 2 4 4 2 2" xfId="499"/>
    <cellStyle name="Обычный 2 4 4 2 2 2" xfId="1042"/>
    <cellStyle name="Обычный 2 4 4 2 2 2 2" xfId="2656"/>
    <cellStyle name="Обычный 2 4 4 2 2 3" xfId="1578"/>
    <cellStyle name="Обычный 2 4 4 2 2 3 2" xfId="3192"/>
    <cellStyle name="Обычный 2 4 4 2 2 4" xfId="2114"/>
    <cellStyle name="Обычный 2 4 4 2 3" xfId="774"/>
    <cellStyle name="Обычный 2 4 4 2 3 2" xfId="2388"/>
    <cellStyle name="Обычный 2 4 4 2 4" xfId="1310"/>
    <cellStyle name="Обычный 2 4 4 2 4 2" xfId="2924"/>
    <cellStyle name="Обычный 2 4 4 2 5" xfId="1846"/>
    <cellStyle name="Обычный 2 4 4 3" xfId="367"/>
    <cellStyle name="Обычный 2 4 4 3 2" xfId="910"/>
    <cellStyle name="Обычный 2 4 4 3 2 2" xfId="2524"/>
    <cellStyle name="Обычный 2 4 4 3 3" xfId="1446"/>
    <cellStyle name="Обычный 2 4 4 3 3 2" xfId="3060"/>
    <cellStyle name="Обычный 2 4 4 3 4" xfId="1982"/>
    <cellStyle name="Обычный 2 4 4 4" xfId="641"/>
    <cellStyle name="Обычный 2 4 4 4 2" xfId="2255"/>
    <cellStyle name="Обычный 2 4 4 5" xfId="1178"/>
    <cellStyle name="Обычный 2 4 4 5 2" xfId="2792"/>
    <cellStyle name="Обычный 2 4 4 6" xfId="1714"/>
    <cellStyle name="Обычный 2 4 5" xfId="185"/>
    <cellStyle name="Обычный 2 4 5 2" xfId="455"/>
    <cellStyle name="Обычный 2 4 5 2 2" xfId="998"/>
    <cellStyle name="Обычный 2 4 5 2 2 2" xfId="2612"/>
    <cellStyle name="Обычный 2 4 5 2 3" xfId="1534"/>
    <cellStyle name="Обычный 2 4 5 2 3 2" xfId="3148"/>
    <cellStyle name="Обычный 2 4 5 2 4" xfId="2070"/>
    <cellStyle name="Обычный 2 4 5 3" xfId="730"/>
    <cellStyle name="Обычный 2 4 5 3 2" xfId="2344"/>
    <cellStyle name="Обычный 2 4 5 4" xfId="1266"/>
    <cellStyle name="Обычный 2 4 5 4 2" xfId="2880"/>
    <cellStyle name="Обычный 2 4 5 5" xfId="1802"/>
    <cellStyle name="Обычный 2 4 6" xfId="323"/>
    <cellStyle name="Обычный 2 4 6 2" xfId="866"/>
    <cellStyle name="Обычный 2 4 6 2 2" xfId="2480"/>
    <cellStyle name="Обычный 2 4 6 3" xfId="1402"/>
    <cellStyle name="Обычный 2 4 6 3 2" xfId="3016"/>
    <cellStyle name="Обычный 2 4 6 4" xfId="1938"/>
    <cellStyle name="Обычный 2 4 7" xfId="596"/>
    <cellStyle name="Обычный 2 4 7 2" xfId="2210"/>
    <cellStyle name="Обычный 2 4 8" xfId="1134"/>
    <cellStyle name="Обычный 2 4 8 2" xfId="2748"/>
    <cellStyle name="Обычный 2 4 9" xfId="1670"/>
    <cellStyle name="Обычный 2 5" xfId="30"/>
    <cellStyle name="Обычный 2 5 2" xfId="125"/>
    <cellStyle name="Обычный 2 5 2 2" xfId="266"/>
    <cellStyle name="Обычный 2 5 2 2 2" xfId="535"/>
    <cellStyle name="Обычный 2 5 2 2 2 2" xfId="1078"/>
    <cellStyle name="Обычный 2 5 2 2 2 2 2" xfId="2692"/>
    <cellStyle name="Обычный 2 5 2 2 2 3" xfId="1614"/>
    <cellStyle name="Обычный 2 5 2 2 2 3 2" xfId="3228"/>
    <cellStyle name="Обычный 2 5 2 2 2 4" xfId="2150"/>
    <cellStyle name="Обычный 2 5 2 2 3" xfId="810"/>
    <cellStyle name="Обычный 2 5 2 2 3 2" xfId="2424"/>
    <cellStyle name="Обычный 2 5 2 2 4" xfId="1346"/>
    <cellStyle name="Обычный 2 5 2 2 4 2" xfId="2960"/>
    <cellStyle name="Обычный 2 5 2 2 5" xfId="1882"/>
    <cellStyle name="Обычный 2 5 2 3" xfId="403"/>
    <cellStyle name="Обычный 2 5 2 3 2" xfId="946"/>
    <cellStyle name="Обычный 2 5 2 3 2 2" xfId="2560"/>
    <cellStyle name="Обычный 2 5 2 3 3" xfId="1482"/>
    <cellStyle name="Обычный 2 5 2 3 3 2" xfId="3096"/>
    <cellStyle name="Обычный 2 5 2 3 4" xfId="2018"/>
    <cellStyle name="Обычный 2 5 2 4" xfId="677"/>
    <cellStyle name="Обычный 2 5 2 4 2" xfId="2291"/>
    <cellStyle name="Обычный 2 5 2 5" xfId="1214"/>
    <cellStyle name="Обычный 2 5 2 5 2" xfId="2828"/>
    <cellStyle name="Обычный 2 5 2 6" xfId="1750"/>
    <cellStyle name="Обычный 2 5 3" xfId="77"/>
    <cellStyle name="Обычный 2 5 3 2" xfId="221"/>
    <cellStyle name="Обычный 2 5 3 2 2" xfId="491"/>
    <cellStyle name="Обычный 2 5 3 2 2 2" xfId="1034"/>
    <cellStyle name="Обычный 2 5 3 2 2 2 2" xfId="2648"/>
    <cellStyle name="Обычный 2 5 3 2 2 3" xfId="1570"/>
    <cellStyle name="Обычный 2 5 3 2 2 3 2" xfId="3184"/>
    <cellStyle name="Обычный 2 5 3 2 2 4" xfId="2106"/>
    <cellStyle name="Обычный 2 5 3 2 3" xfId="766"/>
    <cellStyle name="Обычный 2 5 3 2 3 2" xfId="2380"/>
    <cellStyle name="Обычный 2 5 3 2 4" xfId="1302"/>
    <cellStyle name="Обычный 2 5 3 2 4 2" xfId="2916"/>
    <cellStyle name="Обычный 2 5 3 2 5" xfId="1838"/>
    <cellStyle name="Обычный 2 5 3 3" xfId="359"/>
    <cellStyle name="Обычный 2 5 3 3 2" xfId="902"/>
    <cellStyle name="Обычный 2 5 3 3 2 2" xfId="2516"/>
    <cellStyle name="Обычный 2 5 3 3 3" xfId="1438"/>
    <cellStyle name="Обычный 2 5 3 3 3 2" xfId="3052"/>
    <cellStyle name="Обычный 2 5 3 3 4" xfId="1974"/>
    <cellStyle name="Обычный 2 5 3 4" xfId="632"/>
    <cellStyle name="Обычный 2 5 3 4 2" xfId="2246"/>
    <cellStyle name="Обычный 2 5 3 5" xfId="1170"/>
    <cellStyle name="Обычный 2 5 3 5 2" xfId="2784"/>
    <cellStyle name="Обычный 2 5 3 6" xfId="1706"/>
    <cellStyle name="Обычный 2 5 4" xfId="176"/>
    <cellStyle name="Обычный 2 5 4 2" xfId="447"/>
    <cellStyle name="Обычный 2 5 4 2 2" xfId="990"/>
    <cellStyle name="Обычный 2 5 4 2 2 2" xfId="2604"/>
    <cellStyle name="Обычный 2 5 4 2 3" xfId="1526"/>
    <cellStyle name="Обычный 2 5 4 2 3 2" xfId="3140"/>
    <cellStyle name="Обычный 2 5 4 2 4" xfId="2062"/>
    <cellStyle name="Обычный 2 5 4 3" xfId="722"/>
    <cellStyle name="Обычный 2 5 4 3 2" xfId="2336"/>
    <cellStyle name="Обычный 2 5 4 4" xfId="1258"/>
    <cellStyle name="Обычный 2 5 4 4 2" xfId="2872"/>
    <cellStyle name="Обычный 2 5 4 5" xfId="1794"/>
    <cellStyle name="Обычный 2 5 5" xfId="315"/>
    <cellStyle name="Обычный 2 5 5 2" xfId="858"/>
    <cellStyle name="Обычный 2 5 5 2 2" xfId="2472"/>
    <cellStyle name="Обычный 2 5 5 3" xfId="1394"/>
    <cellStyle name="Обычный 2 5 5 3 2" xfId="3008"/>
    <cellStyle name="Обычный 2 5 5 4" xfId="1930"/>
    <cellStyle name="Обычный 2 5 6" xfId="587"/>
    <cellStyle name="Обычный 2 5 6 2" xfId="2201"/>
    <cellStyle name="Обычный 2 5 7" xfId="1126"/>
    <cellStyle name="Обычный 2 5 7 2" xfId="2740"/>
    <cellStyle name="Обычный 2 5 8" xfId="1662"/>
    <cellStyle name="Обычный 2 6" xfId="50"/>
    <cellStyle name="Обычный 2 6 2" xfId="145"/>
    <cellStyle name="Обычный 2 6 2 2" xfId="284"/>
    <cellStyle name="Обычный 2 6 2 2 2" xfId="552"/>
    <cellStyle name="Обычный 2 6 2 2 2 2" xfId="1095"/>
    <cellStyle name="Обычный 2 6 2 2 2 2 2" xfId="2709"/>
    <cellStyle name="Обычный 2 6 2 2 2 3" xfId="1631"/>
    <cellStyle name="Обычный 2 6 2 2 2 3 2" xfId="3245"/>
    <cellStyle name="Обычный 2 6 2 2 2 4" xfId="2167"/>
    <cellStyle name="Обычный 2 6 2 2 3" xfId="827"/>
    <cellStyle name="Обычный 2 6 2 2 3 2" xfId="2441"/>
    <cellStyle name="Обычный 2 6 2 2 4" xfId="1363"/>
    <cellStyle name="Обычный 2 6 2 2 4 2" xfId="2977"/>
    <cellStyle name="Обычный 2 6 2 2 5" xfId="1899"/>
    <cellStyle name="Обычный 2 6 2 3" xfId="420"/>
    <cellStyle name="Обычный 2 6 2 3 2" xfId="963"/>
    <cellStyle name="Обычный 2 6 2 3 2 2" xfId="2577"/>
    <cellStyle name="Обычный 2 6 2 3 3" xfId="1499"/>
    <cellStyle name="Обычный 2 6 2 3 3 2" xfId="3113"/>
    <cellStyle name="Обычный 2 6 2 3 4" xfId="2035"/>
    <cellStyle name="Обычный 2 6 2 4" xfId="695"/>
    <cellStyle name="Обычный 2 6 2 4 2" xfId="2309"/>
    <cellStyle name="Обычный 2 6 2 5" xfId="1231"/>
    <cellStyle name="Обычный 2 6 2 5 2" xfId="2845"/>
    <cellStyle name="Обычный 2 6 2 6" xfId="1767"/>
    <cellStyle name="Обычный 2 6 3" xfId="97"/>
    <cellStyle name="Обычный 2 6 3 2" xfId="239"/>
    <cellStyle name="Обычный 2 6 3 2 2" xfId="508"/>
    <cellStyle name="Обычный 2 6 3 2 2 2" xfId="1051"/>
    <cellStyle name="Обычный 2 6 3 2 2 2 2" xfId="2665"/>
    <cellStyle name="Обычный 2 6 3 2 2 3" xfId="1587"/>
    <cellStyle name="Обычный 2 6 3 2 2 3 2" xfId="3201"/>
    <cellStyle name="Обычный 2 6 3 2 2 4" xfId="2123"/>
    <cellStyle name="Обычный 2 6 3 2 3" xfId="783"/>
    <cellStyle name="Обычный 2 6 3 2 3 2" xfId="2397"/>
    <cellStyle name="Обычный 2 6 3 2 4" xfId="1319"/>
    <cellStyle name="Обычный 2 6 3 2 4 2" xfId="2933"/>
    <cellStyle name="Обычный 2 6 3 2 5" xfId="1855"/>
    <cellStyle name="Обычный 2 6 3 3" xfId="376"/>
    <cellStyle name="Обычный 2 6 3 3 2" xfId="919"/>
    <cellStyle name="Обычный 2 6 3 3 2 2" xfId="2533"/>
    <cellStyle name="Обычный 2 6 3 3 3" xfId="1455"/>
    <cellStyle name="Обычный 2 6 3 3 3 2" xfId="3069"/>
    <cellStyle name="Обычный 2 6 3 3 4" xfId="1991"/>
    <cellStyle name="Обычный 2 6 3 4" xfId="650"/>
    <cellStyle name="Обычный 2 6 3 4 2" xfId="2264"/>
    <cellStyle name="Обычный 2 6 3 5" xfId="1187"/>
    <cellStyle name="Обычный 2 6 3 5 2" xfId="2801"/>
    <cellStyle name="Обычный 2 6 3 6" xfId="1723"/>
    <cellStyle name="Обычный 2 6 4" xfId="194"/>
    <cellStyle name="Обычный 2 6 4 2" xfId="464"/>
    <cellStyle name="Обычный 2 6 4 2 2" xfId="1007"/>
    <cellStyle name="Обычный 2 6 4 2 2 2" xfId="2621"/>
    <cellStyle name="Обычный 2 6 4 2 3" xfId="1543"/>
    <cellStyle name="Обычный 2 6 4 2 3 2" xfId="3157"/>
    <cellStyle name="Обычный 2 6 4 2 4" xfId="2079"/>
    <cellStyle name="Обычный 2 6 4 3" xfId="739"/>
    <cellStyle name="Обычный 2 6 4 3 2" xfId="2353"/>
    <cellStyle name="Обычный 2 6 4 4" xfId="1275"/>
    <cellStyle name="Обычный 2 6 4 4 2" xfId="2889"/>
    <cellStyle name="Обычный 2 6 4 5" xfId="1811"/>
    <cellStyle name="Обычный 2 6 5" xfId="332"/>
    <cellStyle name="Обычный 2 6 5 2" xfId="875"/>
    <cellStyle name="Обычный 2 6 5 2 2" xfId="2489"/>
    <cellStyle name="Обычный 2 6 5 3" xfId="1411"/>
    <cellStyle name="Обычный 2 6 5 3 2" xfId="3025"/>
    <cellStyle name="Обычный 2 6 5 4" xfId="1947"/>
    <cellStyle name="Обычный 2 6 6" xfId="605"/>
    <cellStyle name="Обычный 2 6 6 2" xfId="2219"/>
    <cellStyle name="Обычный 2 6 7" xfId="1143"/>
    <cellStyle name="Обычный 2 6 7 2" xfId="2757"/>
    <cellStyle name="Обычный 2 6 8" xfId="1679"/>
    <cellStyle name="Обычный 2 7" xfId="116"/>
    <cellStyle name="Обычный 2 7 2" xfId="257"/>
    <cellStyle name="Обычный 2 7 2 2" xfId="526"/>
    <cellStyle name="Обычный 2 7 2 2 2" xfId="1069"/>
    <cellStyle name="Обычный 2 7 2 2 2 2" xfId="2683"/>
    <cellStyle name="Обычный 2 7 2 2 3" xfId="1605"/>
    <cellStyle name="Обычный 2 7 2 2 3 2" xfId="3219"/>
    <cellStyle name="Обычный 2 7 2 2 4" xfId="2141"/>
    <cellStyle name="Обычный 2 7 2 3" xfId="801"/>
    <cellStyle name="Обычный 2 7 2 3 2" xfId="2415"/>
    <cellStyle name="Обычный 2 7 2 4" xfId="1337"/>
    <cellStyle name="Обычный 2 7 2 4 2" xfId="2951"/>
    <cellStyle name="Обычный 2 7 2 5" xfId="1873"/>
    <cellStyle name="Обычный 2 7 3" xfId="394"/>
    <cellStyle name="Обычный 2 7 3 2" xfId="937"/>
    <cellStyle name="Обычный 2 7 3 2 2" xfId="2551"/>
    <cellStyle name="Обычный 2 7 3 3" xfId="1473"/>
    <cellStyle name="Обычный 2 7 3 3 2" xfId="3087"/>
    <cellStyle name="Обычный 2 7 3 4" xfId="2009"/>
    <cellStyle name="Обычный 2 7 4" xfId="668"/>
    <cellStyle name="Обычный 2 7 4 2" xfId="2282"/>
    <cellStyle name="Обычный 2 7 5" xfId="1205"/>
    <cellStyle name="Обычный 2 7 5 2" xfId="2819"/>
    <cellStyle name="Обычный 2 7 6" xfId="1741"/>
    <cellStyle name="Обычный 2 8" xfId="68"/>
    <cellStyle name="Обычный 2 8 2" xfId="212"/>
    <cellStyle name="Обычный 2 8 2 2" xfId="482"/>
    <cellStyle name="Обычный 2 8 2 2 2" xfId="1025"/>
    <cellStyle name="Обычный 2 8 2 2 2 2" xfId="2639"/>
    <cellStyle name="Обычный 2 8 2 2 3" xfId="1561"/>
    <cellStyle name="Обычный 2 8 2 2 3 2" xfId="3175"/>
    <cellStyle name="Обычный 2 8 2 2 4" xfId="2097"/>
    <cellStyle name="Обычный 2 8 2 3" xfId="757"/>
    <cellStyle name="Обычный 2 8 2 3 2" xfId="2371"/>
    <cellStyle name="Обычный 2 8 2 4" xfId="1293"/>
    <cellStyle name="Обычный 2 8 2 4 2" xfId="2907"/>
    <cellStyle name="Обычный 2 8 2 5" xfId="1829"/>
    <cellStyle name="Обычный 2 8 3" xfId="350"/>
    <cellStyle name="Обычный 2 8 3 2" xfId="893"/>
    <cellStyle name="Обычный 2 8 3 2 2" xfId="2507"/>
    <cellStyle name="Обычный 2 8 3 3" xfId="1429"/>
    <cellStyle name="Обычный 2 8 3 3 2" xfId="3043"/>
    <cellStyle name="Обычный 2 8 3 4" xfId="1965"/>
    <cellStyle name="Обычный 2 8 4" xfId="623"/>
    <cellStyle name="Обычный 2 8 4 2" xfId="2237"/>
    <cellStyle name="Обычный 2 8 5" xfId="1161"/>
    <cellStyle name="Обычный 2 8 5 2" xfId="2775"/>
    <cellStyle name="Обычный 2 8 6" xfId="1697"/>
    <cellStyle name="Обычный 2 9" xfId="164"/>
    <cellStyle name="Обычный 2 9 2" xfId="438"/>
    <cellStyle name="Обычный 2 9 2 2" xfId="981"/>
    <cellStyle name="Обычный 2 9 2 2 2" xfId="2595"/>
    <cellStyle name="Обычный 2 9 2 3" xfId="1517"/>
    <cellStyle name="Обычный 2 9 2 3 2" xfId="3131"/>
    <cellStyle name="Обычный 2 9 2 4" xfId="2053"/>
    <cellStyle name="Обычный 2 9 3" xfId="713"/>
    <cellStyle name="Обычный 2 9 3 2" xfId="2327"/>
    <cellStyle name="Обычный 2 9 4" xfId="1249"/>
    <cellStyle name="Обычный 2 9 4 2" xfId="2863"/>
    <cellStyle name="Обычный 2 9 5" xfId="1785"/>
    <cellStyle name="Обычный 3" xfId="17"/>
    <cellStyle name="Обычный 3 2" xfId="27"/>
    <cellStyle name="Обычный 3 3" xfId="34"/>
    <cellStyle name="Обычный 3 3 2" xfId="129"/>
    <cellStyle name="Обычный 3 3 3" xfId="81"/>
    <cellStyle name="Обычный 4" xfId="4"/>
    <cellStyle name="Обычный 4 2" xfId="5"/>
    <cellStyle name="Обычный 4 3" xfId="18"/>
    <cellStyle name="Обычный 5" xfId="12"/>
    <cellStyle name="Обычный 5 10" xfId="577"/>
    <cellStyle name="Обычный 5 10 2" xfId="2191"/>
    <cellStyle name="Обычный 5 11" xfId="1119"/>
    <cellStyle name="Обычный 5 11 2" xfId="2733"/>
    <cellStyle name="Обычный 5 12" xfId="1655"/>
    <cellStyle name="Обычный 5 2" xfId="25"/>
    <cellStyle name="Обычный 5 2 10" xfId="1124"/>
    <cellStyle name="Обычный 5 2 10 2" xfId="2738"/>
    <cellStyle name="Обычный 5 2 11" xfId="1660"/>
    <cellStyle name="Обычный 5 2 2" xfId="48"/>
    <cellStyle name="Обычный 5 2 2 2" xfId="66"/>
    <cellStyle name="Обычный 5 2 2 2 2" xfId="161"/>
    <cellStyle name="Обычный 5 2 2 2 2 2" xfId="300"/>
    <cellStyle name="Обычный 5 2 2 2 2 2 2" xfId="568"/>
    <cellStyle name="Обычный 5 2 2 2 2 2 2 2" xfId="1111"/>
    <cellStyle name="Обычный 5 2 2 2 2 2 2 2 2" xfId="2725"/>
    <cellStyle name="Обычный 5 2 2 2 2 2 2 3" xfId="1647"/>
    <cellStyle name="Обычный 5 2 2 2 2 2 2 3 2" xfId="3261"/>
    <cellStyle name="Обычный 5 2 2 2 2 2 2 4" xfId="2183"/>
    <cellStyle name="Обычный 5 2 2 2 2 2 3" xfId="843"/>
    <cellStyle name="Обычный 5 2 2 2 2 2 3 2" xfId="2457"/>
    <cellStyle name="Обычный 5 2 2 2 2 2 4" xfId="1379"/>
    <cellStyle name="Обычный 5 2 2 2 2 2 4 2" xfId="2993"/>
    <cellStyle name="Обычный 5 2 2 2 2 2 5" xfId="1915"/>
    <cellStyle name="Обычный 5 2 2 2 2 3" xfId="436"/>
    <cellStyle name="Обычный 5 2 2 2 2 3 2" xfId="979"/>
    <cellStyle name="Обычный 5 2 2 2 2 3 2 2" xfId="2593"/>
    <cellStyle name="Обычный 5 2 2 2 2 3 3" xfId="1515"/>
    <cellStyle name="Обычный 5 2 2 2 2 3 3 2" xfId="3129"/>
    <cellStyle name="Обычный 5 2 2 2 2 3 4" xfId="2051"/>
    <cellStyle name="Обычный 5 2 2 2 2 4" xfId="711"/>
    <cellStyle name="Обычный 5 2 2 2 2 4 2" xfId="2325"/>
    <cellStyle name="Обычный 5 2 2 2 2 5" xfId="1247"/>
    <cellStyle name="Обычный 5 2 2 2 2 5 2" xfId="2861"/>
    <cellStyle name="Обычный 5 2 2 2 2 6" xfId="1783"/>
    <cellStyle name="Обычный 5 2 2 2 3" xfId="113"/>
    <cellStyle name="Обычный 5 2 2 2 3 2" xfId="255"/>
    <cellStyle name="Обычный 5 2 2 2 3 2 2" xfId="524"/>
    <cellStyle name="Обычный 5 2 2 2 3 2 2 2" xfId="1067"/>
    <cellStyle name="Обычный 5 2 2 2 3 2 2 2 2" xfId="2681"/>
    <cellStyle name="Обычный 5 2 2 2 3 2 2 3" xfId="1603"/>
    <cellStyle name="Обычный 5 2 2 2 3 2 2 3 2" xfId="3217"/>
    <cellStyle name="Обычный 5 2 2 2 3 2 2 4" xfId="2139"/>
    <cellStyle name="Обычный 5 2 2 2 3 2 3" xfId="799"/>
    <cellStyle name="Обычный 5 2 2 2 3 2 3 2" xfId="2413"/>
    <cellStyle name="Обычный 5 2 2 2 3 2 4" xfId="1335"/>
    <cellStyle name="Обычный 5 2 2 2 3 2 4 2" xfId="2949"/>
    <cellStyle name="Обычный 5 2 2 2 3 2 5" xfId="1871"/>
    <cellStyle name="Обычный 5 2 2 2 3 3" xfId="392"/>
    <cellStyle name="Обычный 5 2 2 2 3 3 2" xfId="935"/>
    <cellStyle name="Обычный 5 2 2 2 3 3 2 2" xfId="2549"/>
    <cellStyle name="Обычный 5 2 2 2 3 3 3" xfId="1471"/>
    <cellStyle name="Обычный 5 2 2 2 3 3 3 2" xfId="3085"/>
    <cellStyle name="Обычный 5 2 2 2 3 3 4" xfId="2007"/>
    <cellStyle name="Обычный 5 2 2 2 3 4" xfId="666"/>
    <cellStyle name="Обычный 5 2 2 2 3 4 2" xfId="2280"/>
    <cellStyle name="Обычный 5 2 2 2 3 5" xfId="1203"/>
    <cellStyle name="Обычный 5 2 2 2 3 5 2" xfId="2817"/>
    <cellStyle name="Обычный 5 2 2 2 3 6" xfId="1739"/>
    <cellStyle name="Обычный 5 2 2 2 4" xfId="210"/>
    <cellStyle name="Обычный 5 2 2 2 4 2" xfId="480"/>
    <cellStyle name="Обычный 5 2 2 2 4 2 2" xfId="1023"/>
    <cellStyle name="Обычный 5 2 2 2 4 2 2 2" xfId="2637"/>
    <cellStyle name="Обычный 5 2 2 2 4 2 3" xfId="1559"/>
    <cellStyle name="Обычный 5 2 2 2 4 2 3 2" xfId="3173"/>
    <cellStyle name="Обычный 5 2 2 2 4 2 4" xfId="2095"/>
    <cellStyle name="Обычный 5 2 2 2 4 3" xfId="755"/>
    <cellStyle name="Обычный 5 2 2 2 4 3 2" xfId="2369"/>
    <cellStyle name="Обычный 5 2 2 2 4 4" xfId="1291"/>
    <cellStyle name="Обычный 5 2 2 2 4 4 2" xfId="2905"/>
    <cellStyle name="Обычный 5 2 2 2 4 5" xfId="1827"/>
    <cellStyle name="Обычный 5 2 2 2 5" xfId="348"/>
    <cellStyle name="Обычный 5 2 2 2 5 2" xfId="891"/>
    <cellStyle name="Обычный 5 2 2 2 5 2 2" xfId="2505"/>
    <cellStyle name="Обычный 5 2 2 2 5 3" xfId="1427"/>
    <cellStyle name="Обычный 5 2 2 2 5 3 2" xfId="3041"/>
    <cellStyle name="Обычный 5 2 2 2 5 4" xfId="1963"/>
    <cellStyle name="Обычный 5 2 2 2 6" xfId="621"/>
    <cellStyle name="Обычный 5 2 2 2 6 2" xfId="2235"/>
    <cellStyle name="Обычный 5 2 2 2 7" xfId="1159"/>
    <cellStyle name="Обычный 5 2 2 2 7 2" xfId="2773"/>
    <cellStyle name="Обычный 5 2 2 2 8" xfId="1695"/>
    <cellStyle name="Обычный 5 2 2 3" xfId="143"/>
    <cellStyle name="Обычный 5 2 2 3 2" xfId="282"/>
    <cellStyle name="Обычный 5 2 2 3 2 2" xfId="550"/>
    <cellStyle name="Обычный 5 2 2 3 2 2 2" xfId="1093"/>
    <cellStyle name="Обычный 5 2 2 3 2 2 2 2" xfId="2707"/>
    <cellStyle name="Обычный 5 2 2 3 2 2 3" xfId="1629"/>
    <cellStyle name="Обычный 5 2 2 3 2 2 3 2" xfId="3243"/>
    <cellStyle name="Обычный 5 2 2 3 2 2 4" xfId="2165"/>
    <cellStyle name="Обычный 5 2 2 3 2 3" xfId="825"/>
    <cellStyle name="Обычный 5 2 2 3 2 3 2" xfId="2439"/>
    <cellStyle name="Обычный 5 2 2 3 2 4" xfId="1361"/>
    <cellStyle name="Обычный 5 2 2 3 2 4 2" xfId="2975"/>
    <cellStyle name="Обычный 5 2 2 3 2 5" xfId="1897"/>
    <cellStyle name="Обычный 5 2 2 3 3" xfId="418"/>
    <cellStyle name="Обычный 5 2 2 3 3 2" xfId="961"/>
    <cellStyle name="Обычный 5 2 2 3 3 2 2" xfId="2575"/>
    <cellStyle name="Обычный 5 2 2 3 3 3" xfId="1497"/>
    <cellStyle name="Обычный 5 2 2 3 3 3 2" xfId="3111"/>
    <cellStyle name="Обычный 5 2 2 3 3 4" xfId="2033"/>
    <cellStyle name="Обычный 5 2 2 3 4" xfId="693"/>
    <cellStyle name="Обычный 5 2 2 3 4 2" xfId="2307"/>
    <cellStyle name="Обычный 5 2 2 3 5" xfId="1229"/>
    <cellStyle name="Обычный 5 2 2 3 5 2" xfId="2843"/>
    <cellStyle name="Обычный 5 2 2 3 6" xfId="1765"/>
    <cellStyle name="Обычный 5 2 2 4" xfId="95"/>
    <cellStyle name="Обычный 5 2 2 4 2" xfId="237"/>
    <cellStyle name="Обычный 5 2 2 4 2 2" xfId="506"/>
    <cellStyle name="Обычный 5 2 2 4 2 2 2" xfId="1049"/>
    <cellStyle name="Обычный 5 2 2 4 2 2 2 2" xfId="2663"/>
    <cellStyle name="Обычный 5 2 2 4 2 2 3" xfId="1585"/>
    <cellStyle name="Обычный 5 2 2 4 2 2 3 2" xfId="3199"/>
    <cellStyle name="Обычный 5 2 2 4 2 2 4" xfId="2121"/>
    <cellStyle name="Обычный 5 2 2 4 2 3" xfId="781"/>
    <cellStyle name="Обычный 5 2 2 4 2 3 2" xfId="2395"/>
    <cellStyle name="Обычный 5 2 2 4 2 4" xfId="1317"/>
    <cellStyle name="Обычный 5 2 2 4 2 4 2" xfId="2931"/>
    <cellStyle name="Обычный 5 2 2 4 2 5" xfId="1853"/>
    <cellStyle name="Обычный 5 2 2 4 3" xfId="374"/>
    <cellStyle name="Обычный 5 2 2 4 3 2" xfId="917"/>
    <cellStyle name="Обычный 5 2 2 4 3 2 2" xfId="2531"/>
    <cellStyle name="Обычный 5 2 2 4 3 3" xfId="1453"/>
    <cellStyle name="Обычный 5 2 2 4 3 3 2" xfId="3067"/>
    <cellStyle name="Обычный 5 2 2 4 3 4" xfId="1989"/>
    <cellStyle name="Обычный 5 2 2 4 4" xfId="648"/>
    <cellStyle name="Обычный 5 2 2 4 4 2" xfId="2262"/>
    <cellStyle name="Обычный 5 2 2 4 5" xfId="1185"/>
    <cellStyle name="Обычный 5 2 2 4 5 2" xfId="2799"/>
    <cellStyle name="Обычный 5 2 2 4 6" xfId="1721"/>
    <cellStyle name="Обычный 5 2 2 5" xfId="192"/>
    <cellStyle name="Обычный 5 2 2 5 2" xfId="462"/>
    <cellStyle name="Обычный 5 2 2 5 2 2" xfId="1005"/>
    <cellStyle name="Обычный 5 2 2 5 2 2 2" xfId="2619"/>
    <cellStyle name="Обычный 5 2 2 5 2 3" xfId="1541"/>
    <cellStyle name="Обычный 5 2 2 5 2 3 2" xfId="3155"/>
    <cellStyle name="Обычный 5 2 2 5 2 4" xfId="2077"/>
    <cellStyle name="Обычный 5 2 2 5 3" xfId="737"/>
    <cellStyle name="Обычный 5 2 2 5 3 2" xfId="2351"/>
    <cellStyle name="Обычный 5 2 2 5 4" xfId="1273"/>
    <cellStyle name="Обычный 5 2 2 5 4 2" xfId="2887"/>
    <cellStyle name="Обычный 5 2 2 5 5" xfId="1809"/>
    <cellStyle name="Обычный 5 2 2 6" xfId="330"/>
    <cellStyle name="Обычный 5 2 2 6 2" xfId="873"/>
    <cellStyle name="Обычный 5 2 2 6 2 2" xfId="2487"/>
    <cellStyle name="Обычный 5 2 2 6 3" xfId="1409"/>
    <cellStyle name="Обычный 5 2 2 6 3 2" xfId="3023"/>
    <cellStyle name="Обычный 5 2 2 6 4" xfId="1945"/>
    <cellStyle name="Обычный 5 2 2 7" xfId="603"/>
    <cellStyle name="Обычный 5 2 2 7 2" xfId="2217"/>
    <cellStyle name="Обычный 5 2 2 8" xfId="1141"/>
    <cellStyle name="Обычный 5 2 2 8 2" xfId="2755"/>
    <cellStyle name="Обычный 5 2 2 9" xfId="1677"/>
    <cellStyle name="Обычный 5 2 3" xfId="39"/>
    <cellStyle name="Обычный 5 2 3 2" xfId="134"/>
    <cellStyle name="Обычный 5 2 3 2 2" xfId="273"/>
    <cellStyle name="Обычный 5 2 3 2 2 2" xfId="541"/>
    <cellStyle name="Обычный 5 2 3 2 2 2 2" xfId="1084"/>
    <cellStyle name="Обычный 5 2 3 2 2 2 2 2" xfId="2698"/>
    <cellStyle name="Обычный 5 2 3 2 2 2 3" xfId="1620"/>
    <cellStyle name="Обычный 5 2 3 2 2 2 3 2" xfId="3234"/>
    <cellStyle name="Обычный 5 2 3 2 2 2 4" xfId="2156"/>
    <cellStyle name="Обычный 5 2 3 2 2 3" xfId="816"/>
    <cellStyle name="Обычный 5 2 3 2 2 3 2" xfId="2430"/>
    <cellStyle name="Обычный 5 2 3 2 2 4" xfId="1352"/>
    <cellStyle name="Обычный 5 2 3 2 2 4 2" xfId="2966"/>
    <cellStyle name="Обычный 5 2 3 2 2 5" xfId="1888"/>
    <cellStyle name="Обычный 5 2 3 2 3" xfId="409"/>
    <cellStyle name="Обычный 5 2 3 2 3 2" xfId="952"/>
    <cellStyle name="Обычный 5 2 3 2 3 2 2" xfId="2566"/>
    <cellStyle name="Обычный 5 2 3 2 3 3" xfId="1488"/>
    <cellStyle name="Обычный 5 2 3 2 3 3 2" xfId="3102"/>
    <cellStyle name="Обычный 5 2 3 2 3 4" xfId="2024"/>
    <cellStyle name="Обычный 5 2 3 2 4" xfId="684"/>
    <cellStyle name="Обычный 5 2 3 2 4 2" xfId="2298"/>
    <cellStyle name="Обычный 5 2 3 2 5" xfId="1220"/>
    <cellStyle name="Обычный 5 2 3 2 5 2" xfId="2834"/>
    <cellStyle name="Обычный 5 2 3 2 6" xfId="1756"/>
    <cellStyle name="Обычный 5 2 3 3" xfId="86"/>
    <cellStyle name="Обычный 5 2 3 3 2" xfId="228"/>
    <cellStyle name="Обычный 5 2 3 3 2 2" xfId="497"/>
    <cellStyle name="Обычный 5 2 3 3 2 2 2" xfId="1040"/>
    <cellStyle name="Обычный 5 2 3 3 2 2 2 2" xfId="2654"/>
    <cellStyle name="Обычный 5 2 3 3 2 2 3" xfId="1576"/>
    <cellStyle name="Обычный 5 2 3 3 2 2 3 2" xfId="3190"/>
    <cellStyle name="Обычный 5 2 3 3 2 2 4" xfId="2112"/>
    <cellStyle name="Обычный 5 2 3 3 2 3" xfId="772"/>
    <cellStyle name="Обычный 5 2 3 3 2 3 2" xfId="2386"/>
    <cellStyle name="Обычный 5 2 3 3 2 4" xfId="1308"/>
    <cellStyle name="Обычный 5 2 3 3 2 4 2" xfId="2922"/>
    <cellStyle name="Обычный 5 2 3 3 2 5" xfId="1844"/>
    <cellStyle name="Обычный 5 2 3 3 3" xfId="365"/>
    <cellStyle name="Обычный 5 2 3 3 3 2" xfId="908"/>
    <cellStyle name="Обычный 5 2 3 3 3 2 2" xfId="2522"/>
    <cellStyle name="Обычный 5 2 3 3 3 3" xfId="1444"/>
    <cellStyle name="Обычный 5 2 3 3 3 3 2" xfId="3058"/>
    <cellStyle name="Обычный 5 2 3 3 3 4" xfId="1980"/>
    <cellStyle name="Обычный 5 2 3 3 4" xfId="639"/>
    <cellStyle name="Обычный 5 2 3 3 4 2" xfId="2253"/>
    <cellStyle name="Обычный 5 2 3 3 5" xfId="1176"/>
    <cellStyle name="Обычный 5 2 3 3 5 2" xfId="2790"/>
    <cellStyle name="Обычный 5 2 3 3 6" xfId="1712"/>
    <cellStyle name="Обычный 5 2 3 4" xfId="183"/>
    <cellStyle name="Обычный 5 2 3 4 2" xfId="453"/>
    <cellStyle name="Обычный 5 2 3 4 2 2" xfId="996"/>
    <cellStyle name="Обычный 5 2 3 4 2 2 2" xfId="2610"/>
    <cellStyle name="Обычный 5 2 3 4 2 3" xfId="1532"/>
    <cellStyle name="Обычный 5 2 3 4 2 3 2" xfId="3146"/>
    <cellStyle name="Обычный 5 2 3 4 2 4" xfId="2068"/>
    <cellStyle name="Обычный 5 2 3 4 3" xfId="728"/>
    <cellStyle name="Обычный 5 2 3 4 3 2" xfId="2342"/>
    <cellStyle name="Обычный 5 2 3 4 4" xfId="1264"/>
    <cellStyle name="Обычный 5 2 3 4 4 2" xfId="2878"/>
    <cellStyle name="Обычный 5 2 3 4 5" xfId="1800"/>
    <cellStyle name="Обычный 5 2 3 5" xfId="321"/>
    <cellStyle name="Обычный 5 2 3 5 2" xfId="864"/>
    <cellStyle name="Обычный 5 2 3 5 2 2" xfId="2478"/>
    <cellStyle name="Обычный 5 2 3 5 3" xfId="1400"/>
    <cellStyle name="Обычный 5 2 3 5 3 2" xfId="3014"/>
    <cellStyle name="Обычный 5 2 3 5 4" xfId="1936"/>
    <cellStyle name="Обычный 5 2 3 6" xfId="594"/>
    <cellStyle name="Обычный 5 2 3 6 2" xfId="2208"/>
    <cellStyle name="Обычный 5 2 3 7" xfId="1132"/>
    <cellStyle name="Обычный 5 2 3 7 2" xfId="2746"/>
    <cellStyle name="Обычный 5 2 3 8" xfId="1668"/>
    <cellStyle name="Обычный 5 2 4" xfId="56"/>
    <cellStyle name="Обычный 5 2 4 2" xfId="151"/>
    <cellStyle name="Обычный 5 2 4 2 2" xfId="290"/>
    <cellStyle name="Обычный 5 2 4 2 2 2" xfId="558"/>
    <cellStyle name="Обычный 5 2 4 2 2 2 2" xfId="1101"/>
    <cellStyle name="Обычный 5 2 4 2 2 2 2 2" xfId="2715"/>
    <cellStyle name="Обычный 5 2 4 2 2 2 3" xfId="1637"/>
    <cellStyle name="Обычный 5 2 4 2 2 2 3 2" xfId="3251"/>
    <cellStyle name="Обычный 5 2 4 2 2 2 4" xfId="2173"/>
    <cellStyle name="Обычный 5 2 4 2 2 3" xfId="833"/>
    <cellStyle name="Обычный 5 2 4 2 2 3 2" xfId="2447"/>
    <cellStyle name="Обычный 5 2 4 2 2 4" xfId="1369"/>
    <cellStyle name="Обычный 5 2 4 2 2 4 2" xfId="2983"/>
    <cellStyle name="Обычный 5 2 4 2 2 5" xfId="1905"/>
    <cellStyle name="Обычный 5 2 4 2 3" xfId="426"/>
    <cellStyle name="Обычный 5 2 4 2 3 2" xfId="969"/>
    <cellStyle name="Обычный 5 2 4 2 3 2 2" xfId="2583"/>
    <cellStyle name="Обычный 5 2 4 2 3 3" xfId="1505"/>
    <cellStyle name="Обычный 5 2 4 2 3 3 2" xfId="3119"/>
    <cellStyle name="Обычный 5 2 4 2 3 4" xfId="2041"/>
    <cellStyle name="Обычный 5 2 4 2 4" xfId="701"/>
    <cellStyle name="Обычный 5 2 4 2 4 2" xfId="2315"/>
    <cellStyle name="Обычный 5 2 4 2 5" xfId="1237"/>
    <cellStyle name="Обычный 5 2 4 2 5 2" xfId="2851"/>
    <cellStyle name="Обычный 5 2 4 2 6" xfId="1773"/>
    <cellStyle name="Обычный 5 2 4 3" xfId="103"/>
    <cellStyle name="Обычный 5 2 4 3 2" xfId="245"/>
    <cellStyle name="Обычный 5 2 4 3 2 2" xfId="514"/>
    <cellStyle name="Обычный 5 2 4 3 2 2 2" xfId="1057"/>
    <cellStyle name="Обычный 5 2 4 3 2 2 2 2" xfId="2671"/>
    <cellStyle name="Обычный 5 2 4 3 2 2 3" xfId="1593"/>
    <cellStyle name="Обычный 5 2 4 3 2 2 3 2" xfId="3207"/>
    <cellStyle name="Обычный 5 2 4 3 2 2 4" xfId="2129"/>
    <cellStyle name="Обычный 5 2 4 3 2 3" xfId="789"/>
    <cellStyle name="Обычный 5 2 4 3 2 3 2" xfId="2403"/>
    <cellStyle name="Обычный 5 2 4 3 2 4" xfId="1325"/>
    <cellStyle name="Обычный 5 2 4 3 2 4 2" xfId="2939"/>
    <cellStyle name="Обычный 5 2 4 3 2 5" xfId="1861"/>
    <cellStyle name="Обычный 5 2 4 3 3" xfId="382"/>
    <cellStyle name="Обычный 5 2 4 3 3 2" xfId="925"/>
    <cellStyle name="Обычный 5 2 4 3 3 2 2" xfId="2539"/>
    <cellStyle name="Обычный 5 2 4 3 3 3" xfId="1461"/>
    <cellStyle name="Обычный 5 2 4 3 3 3 2" xfId="3075"/>
    <cellStyle name="Обычный 5 2 4 3 3 4" xfId="1997"/>
    <cellStyle name="Обычный 5 2 4 3 4" xfId="656"/>
    <cellStyle name="Обычный 5 2 4 3 4 2" xfId="2270"/>
    <cellStyle name="Обычный 5 2 4 3 5" xfId="1193"/>
    <cellStyle name="Обычный 5 2 4 3 5 2" xfId="2807"/>
    <cellStyle name="Обычный 5 2 4 3 6" xfId="1729"/>
    <cellStyle name="Обычный 5 2 4 4" xfId="200"/>
    <cellStyle name="Обычный 5 2 4 4 2" xfId="470"/>
    <cellStyle name="Обычный 5 2 4 4 2 2" xfId="1013"/>
    <cellStyle name="Обычный 5 2 4 4 2 2 2" xfId="2627"/>
    <cellStyle name="Обычный 5 2 4 4 2 3" xfId="1549"/>
    <cellStyle name="Обычный 5 2 4 4 2 3 2" xfId="3163"/>
    <cellStyle name="Обычный 5 2 4 4 2 4" xfId="2085"/>
    <cellStyle name="Обычный 5 2 4 4 3" xfId="745"/>
    <cellStyle name="Обычный 5 2 4 4 3 2" xfId="2359"/>
    <cellStyle name="Обычный 5 2 4 4 4" xfId="1281"/>
    <cellStyle name="Обычный 5 2 4 4 4 2" xfId="2895"/>
    <cellStyle name="Обычный 5 2 4 4 5" xfId="1817"/>
    <cellStyle name="Обычный 5 2 4 5" xfId="338"/>
    <cellStyle name="Обычный 5 2 4 5 2" xfId="881"/>
    <cellStyle name="Обычный 5 2 4 5 2 2" xfId="2495"/>
    <cellStyle name="Обычный 5 2 4 5 3" xfId="1417"/>
    <cellStyle name="Обычный 5 2 4 5 3 2" xfId="3031"/>
    <cellStyle name="Обычный 5 2 4 5 4" xfId="1953"/>
    <cellStyle name="Обычный 5 2 4 6" xfId="611"/>
    <cellStyle name="Обычный 5 2 4 6 2" xfId="2225"/>
    <cellStyle name="Обычный 5 2 4 7" xfId="1149"/>
    <cellStyle name="Обычный 5 2 4 7 2" xfId="2763"/>
    <cellStyle name="Обычный 5 2 4 8" xfId="1685"/>
    <cellStyle name="Обычный 5 2 5" xfId="123"/>
    <cellStyle name="Обычный 5 2 5 2" xfId="264"/>
    <cellStyle name="Обычный 5 2 5 2 2" xfId="533"/>
    <cellStyle name="Обычный 5 2 5 2 2 2" xfId="1076"/>
    <cellStyle name="Обычный 5 2 5 2 2 2 2" xfId="2690"/>
    <cellStyle name="Обычный 5 2 5 2 2 3" xfId="1612"/>
    <cellStyle name="Обычный 5 2 5 2 2 3 2" xfId="3226"/>
    <cellStyle name="Обычный 5 2 5 2 2 4" xfId="2148"/>
    <cellStyle name="Обычный 5 2 5 2 3" xfId="808"/>
    <cellStyle name="Обычный 5 2 5 2 3 2" xfId="2422"/>
    <cellStyle name="Обычный 5 2 5 2 4" xfId="1344"/>
    <cellStyle name="Обычный 5 2 5 2 4 2" xfId="2958"/>
    <cellStyle name="Обычный 5 2 5 2 5" xfId="1880"/>
    <cellStyle name="Обычный 5 2 5 3" xfId="401"/>
    <cellStyle name="Обычный 5 2 5 3 2" xfId="944"/>
    <cellStyle name="Обычный 5 2 5 3 2 2" xfId="2558"/>
    <cellStyle name="Обычный 5 2 5 3 3" xfId="1480"/>
    <cellStyle name="Обычный 5 2 5 3 3 2" xfId="3094"/>
    <cellStyle name="Обычный 5 2 5 3 4" xfId="2016"/>
    <cellStyle name="Обычный 5 2 5 4" xfId="675"/>
    <cellStyle name="Обычный 5 2 5 4 2" xfId="2289"/>
    <cellStyle name="Обычный 5 2 5 5" xfId="1212"/>
    <cellStyle name="Обычный 5 2 5 5 2" xfId="2826"/>
    <cellStyle name="Обычный 5 2 5 6" xfId="1748"/>
    <cellStyle name="Обычный 5 2 6" xfId="75"/>
    <cellStyle name="Обычный 5 2 6 2" xfId="219"/>
    <cellStyle name="Обычный 5 2 6 2 2" xfId="489"/>
    <cellStyle name="Обычный 5 2 6 2 2 2" xfId="1032"/>
    <cellStyle name="Обычный 5 2 6 2 2 2 2" xfId="2646"/>
    <cellStyle name="Обычный 5 2 6 2 2 3" xfId="1568"/>
    <cellStyle name="Обычный 5 2 6 2 2 3 2" xfId="3182"/>
    <cellStyle name="Обычный 5 2 6 2 2 4" xfId="2104"/>
    <cellStyle name="Обычный 5 2 6 2 3" xfId="764"/>
    <cellStyle name="Обычный 5 2 6 2 3 2" xfId="2378"/>
    <cellStyle name="Обычный 5 2 6 2 4" xfId="1300"/>
    <cellStyle name="Обычный 5 2 6 2 4 2" xfId="2914"/>
    <cellStyle name="Обычный 5 2 6 2 5" xfId="1836"/>
    <cellStyle name="Обычный 5 2 6 3" xfId="357"/>
    <cellStyle name="Обычный 5 2 6 3 2" xfId="900"/>
    <cellStyle name="Обычный 5 2 6 3 2 2" xfId="2514"/>
    <cellStyle name="Обычный 5 2 6 3 3" xfId="1436"/>
    <cellStyle name="Обычный 5 2 6 3 3 2" xfId="3050"/>
    <cellStyle name="Обычный 5 2 6 3 4" xfId="1972"/>
    <cellStyle name="Обычный 5 2 6 4" xfId="630"/>
    <cellStyle name="Обычный 5 2 6 4 2" xfId="2244"/>
    <cellStyle name="Обычный 5 2 6 5" xfId="1168"/>
    <cellStyle name="Обычный 5 2 6 5 2" xfId="2782"/>
    <cellStyle name="Обычный 5 2 6 6" xfId="1704"/>
    <cellStyle name="Обычный 5 2 7" xfId="173"/>
    <cellStyle name="Обычный 5 2 7 2" xfId="445"/>
    <cellStyle name="Обычный 5 2 7 2 2" xfId="988"/>
    <cellStyle name="Обычный 5 2 7 2 2 2" xfId="2602"/>
    <cellStyle name="Обычный 5 2 7 2 3" xfId="1524"/>
    <cellStyle name="Обычный 5 2 7 2 3 2" xfId="3138"/>
    <cellStyle name="Обычный 5 2 7 2 4" xfId="2060"/>
    <cellStyle name="Обычный 5 2 7 3" xfId="720"/>
    <cellStyle name="Обычный 5 2 7 3 2" xfId="2334"/>
    <cellStyle name="Обычный 5 2 7 4" xfId="1256"/>
    <cellStyle name="Обычный 5 2 7 4 2" xfId="2870"/>
    <cellStyle name="Обычный 5 2 7 5" xfId="1792"/>
    <cellStyle name="Обычный 5 2 8" xfId="313"/>
    <cellStyle name="Обычный 5 2 8 2" xfId="856"/>
    <cellStyle name="Обычный 5 2 8 2 2" xfId="2470"/>
    <cellStyle name="Обычный 5 2 8 3" xfId="1392"/>
    <cellStyle name="Обычный 5 2 8 3 2" xfId="3006"/>
    <cellStyle name="Обычный 5 2 8 4" xfId="1928"/>
    <cellStyle name="Обычный 5 2 9" xfId="584"/>
    <cellStyle name="Обычный 5 2 9 2" xfId="2198"/>
    <cellStyle name="Обычный 5 3" xfId="43"/>
    <cellStyle name="Обычный 5 3 2" xfId="61"/>
    <cellStyle name="Обычный 5 3 2 2" xfId="156"/>
    <cellStyle name="Обычный 5 3 2 2 2" xfId="295"/>
    <cellStyle name="Обычный 5 3 2 2 2 2" xfId="563"/>
    <cellStyle name="Обычный 5 3 2 2 2 2 2" xfId="1106"/>
    <cellStyle name="Обычный 5 3 2 2 2 2 2 2" xfId="2720"/>
    <cellStyle name="Обычный 5 3 2 2 2 2 3" xfId="1642"/>
    <cellStyle name="Обычный 5 3 2 2 2 2 3 2" xfId="3256"/>
    <cellStyle name="Обычный 5 3 2 2 2 2 4" xfId="2178"/>
    <cellStyle name="Обычный 5 3 2 2 2 3" xfId="838"/>
    <cellStyle name="Обычный 5 3 2 2 2 3 2" xfId="2452"/>
    <cellStyle name="Обычный 5 3 2 2 2 4" xfId="1374"/>
    <cellStyle name="Обычный 5 3 2 2 2 4 2" xfId="2988"/>
    <cellStyle name="Обычный 5 3 2 2 2 5" xfId="1910"/>
    <cellStyle name="Обычный 5 3 2 2 3" xfId="431"/>
    <cellStyle name="Обычный 5 3 2 2 3 2" xfId="974"/>
    <cellStyle name="Обычный 5 3 2 2 3 2 2" xfId="2588"/>
    <cellStyle name="Обычный 5 3 2 2 3 3" xfId="1510"/>
    <cellStyle name="Обычный 5 3 2 2 3 3 2" xfId="3124"/>
    <cellStyle name="Обычный 5 3 2 2 3 4" xfId="2046"/>
    <cellStyle name="Обычный 5 3 2 2 4" xfId="706"/>
    <cellStyle name="Обычный 5 3 2 2 4 2" xfId="2320"/>
    <cellStyle name="Обычный 5 3 2 2 5" xfId="1242"/>
    <cellStyle name="Обычный 5 3 2 2 5 2" xfId="2856"/>
    <cellStyle name="Обычный 5 3 2 2 6" xfId="1778"/>
    <cellStyle name="Обычный 5 3 2 3" xfId="108"/>
    <cellStyle name="Обычный 5 3 2 3 2" xfId="250"/>
    <cellStyle name="Обычный 5 3 2 3 2 2" xfId="519"/>
    <cellStyle name="Обычный 5 3 2 3 2 2 2" xfId="1062"/>
    <cellStyle name="Обычный 5 3 2 3 2 2 2 2" xfId="2676"/>
    <cellStyle name="Обычный 5 3 2 3 2 2 3" xfId="1598"/>
    <cellStyle name="Обычный 5 3 2 3 2 2 3 2" xfId="3212"/>
    <cellStyle name="Обычный 5 3 2 3 2 2 4" xfId="2134"/>
    <cellStyle name="Обычный 5 3 2 3 2 3" xfId="794"/>
    <cellStyle name="Обычный 5 3 2 3 2 3 2" xfId="2408"/>
    <cellStyle name="Обычный 5 3 2 3 2 4" xfId="1330"/>
    <cellStyle name="Обычный 5 3 2 3 2 4 2" xfId="2944"/>
    <cellStyle name="Обычный 5 3 2 3 2 5" xfId="1866"/>
    <cellStyle name="Обычный 5 3 2 3 3" xfId="387"/>
    <cellStyle name="Обычный 5 3 2 3 3 2" xfId="930"/>
    <cellStyle name="Обычный 5 3 2 3 3 2 2" xfId="2544"/>
    <cellStyle name="Обычный 5 3 2 3 3 3" xfId="1466"/>
    <cellStyle name="Обычный 5 3 2 3 3 3 2" xfId="3080"/>
    <cellStyle name="Обычный 5 3 2 3 3 4" xfId="2002"/>
    <cellStyle name="Обычный 5 3 2 3 4" xfId="661"/>
    <cellStyle name="Обычный 5 3 2 3 4 2" xfId="2275"/>
    <cellStyle name="Обычный 5 3 2 3 5" xfId="1198"/>
    <cellStyle name="Обычный 5 3 2 3 5 2" xfId="2812"/>
    <cellStyle name="Обычный 5 3 2 3 6" xfId="1734"/>
    <cellStyle name="Обычный 5 3 2 4" xfId="205"/>
    <cellStyle name="Обычный 5 3 2 4 2" xfId="475"/>
    <cellStyle name="Обычный 5 3 2 4 2 2" xfId="1018"/>
    <cellStyle name="Обычный 5 3 2 4 2 2 2" xfId="2632"/>
    <cellStyle name="Обычный 5 3 2 4 2 3" xfId="1554"/>
    <cellStyle name="Обычный 5 3 2 4 2 3 2" xfId="3168"/>
    <cellStyle name="Обычный 5 3 2 4 2 4" xfId="2090"/>
    <cellStyle name="Обычный 5 3 2 4 3" xfId="750"/>
    <cellStyle name="Обычный 5 3 2 4 3 2" xfId="2364"/>
    <cellStyle name="Обычный 5 3 2 4 4" xfId="1286"/>
    <cellStyle name="Обычный 5 3 2 4 4 2" xfId="2900"/>
    <cellStyle name="Обычный 5 3 2 4 5" xfId="1822"/>
    <cellStyle name="Обычный 5 3 2 5" xfId="343"/>
    <cellStyle name="Обычный 5 3 2 5 2" xfId="886"/>
    <cellStyle name="Обычный 5 3 2 5 2 2" xfId="2500"/>
    <cellStyle name="Обычный 5 3 2 5 3" xfId="1422"/>
    <cellStyle name="Обычный 5 3 2 5 3 2" xfId="3036"/>
    <cellStyle name="Обычный 5 3 2 5 4" xfId="1958"/>
    <cellStyle name="Обычный 5 3 2 6" xfId="616"/>
    <cellStyle name="Обычный 5 3 2 6 2" xfId="2230"/>
    <cellStyle name="Обычный 5 3 2 7" xfId="1154"/>
    <cellStyle name="Обычный 5 3 2 7 2" xfId="2768"/>
    <cellStyle name="Обычный 5 3 2 8" xfId="1690"/>
    <cellStyle name="Обычный 5 3 3" xfId="138"/>
    <cellStyle name="Обычный 5 3 3 2" xfId="277"/>
    <cellStyle name="Обычный 5 3 3 2 2" xfId="545"/>
    <cellStyle name="Обычный 5 3 3 2 2 2" xfId="1088"/>
    <cellStyle name="Обычный 5 3 3 2 2 2 2" xfId="2702"/>
    <cellStyle name="Обычный 5 3 3 2 2 3" xfId="1624"/>
    <cellStyle name="Обычный 5 3 3 2 2 3 2" xfId="3238"/>
    <cellStyle name="Обычный 5 3 3 2 2 4" xfId="2160"/>
    <cellStyle name="Обычный 5 3 3 2 3" xfId="820"/>
    <cellStyle name="Обычный 5 3 3 2 3 2" xfId="2434"/>
    <cellStyle name="Обычный 5 3 3 2 4" xfId="1356"/>
    <cellStyle name="Обычный 5 3 3 2 4 2" xfId="2970"/>
    <cellStyle name="Обычный 5 3 3 2 5" xfId="1892"/>
    <cellStyle name="Обычный 5 3 3 3" xfId="413"/>
    <cellStyle name="Обычный 5 3 3 3 2" xfId="956"/>
    <cellStyle name="Обычный 5 3 3 3 2 2" xfId="2570"/>
    <cellStyle name="Обычный 5 3 3 3 3" xfId="1492"/>
    <cellStyle name="Обычный 5 3 3 3 3 2" xfId="3106"/>
    <cellStyle name="Обычный 5 3 3 3 4" xfId="2028"/>
    <cellStyle name="Обычный 5 3 3 4" xfId="688"/>
    <cellStyle name="Обычный 5 3 3 4 2" xfId="2302"/>
    <cellStyle name="Обычный 5 3 3 5" xfId="1224"/>
    <cellStyle name="Обычный 5 3 3 5 2" xfId="2838"/>
    <cellStyle name="Обычный 5 3 3 6" xfId="1760"/>
    <cellStyle name="Обычный 5 3 4" xfId="90"/>
    <cellStyle name="Обычный 5 3 4 2" xfId="232"/>
    <cellStyle name="Обычный 5 3 4 2 2" xfId="501"/>
    <cellStyle name="Обычный 5 3 4 2 2 2" xfId="1044"/>
    <cellStyle name="Обычный 5 3 4 2 2 2 2" xfId="2658"/>
    <cellStyle name="Обычный 5 3 4 2 2 3" xfId="1580"/>
    <cellStyle name="Обычный 5 3 4 2 2 3 2" xfId="3194"/>
    <cellStyle name="Обычный 5 3 4 2 2 4" xfId="2116"/>
    <cellStyle name="Обычный 5 3 4 2 3" xfId="776"/>
    <cellStyle name="Обычный 5 3 4 2 3 2" xfId="2390"/>
    <cellStyle name="Обычный 5 3 4 2 4" xfId="1312"/>
    <cellStyle name="Обычный 5 3 4 2 4 2" xfId="2926"/>
    <cellStyle name="Обычный 5 3 4 2 5" xfId="1848"/>
    <cellStyle name="Обычный 5 3 4 3" xfId="369"/>
    <cellStyle name="Обычный 5 3 4 3 2" xfId="912"/>
    <cellStyle name="Обычный 5 3 4 3 2 2" xfId="2526"/>
    <cellStyle name="Обычный 5 3 4 3 3" xfId="1448"/>
    <cellStyle name="Обычный 5 3 4 3 3 2" xfId="3062"/>
    <cellStyle name="Обычный 5 3 4 3 4" xfId="1984"/>
    <cellStyle name="Обычный 5 3 4 4" xfId="643"/>
    <cellStyle name="Обычный 5 3 4 4 2" xfId="2257"/>
    <cellStyle name="Обычный 5 3 4 5" xfId="1180"/>
    <cellStyle name="Обычный 5 3 4 5 2" xfId="2794"/>
    <cellStyle name="Обычный 5 3 4 6" xfId="1716"/>
    <cellStyle name="Обычный 5 3 5" xfId="187"/>
    <cellStyle name="Обычный 5 3 5 2" xfId="457"/>
    <cellStyle name="Обычный 5 3 5 2 2" xfId="1000"/>
    <cellStyle name="Обычный 5 3 5 2 2 2" xfId="2614"/>
    <cellStyle name="Обычный 5 3 5 2 3" xfId="1536"/>
    <cellStyle name="Обычный 5 3 5 2 3 2" xfId="3150"/>
    <cellStyle name="Обычный 5 3 5 2 4" xfId="2072"/>
    <cellStyle name="Обычный 5 3 5 3" xfId="732"/>
    <cellStyle name="Обычный 5 3 5 3 2" xfId="2346"/>
    <cellStyle name="Обычный 5 3 5 4" xfId="1268"/>
    <cellStyle name="Обычный 5 3 5 4 2" xfId="2882"/>
    <cellStyle name="Обычный 5 3 5 5" xfId="1804"/>
    <cellStyle name="Обычный 5 3 6" xfId="325"/>
    <cellStyle name="Обычный 5 3 6 2" xfId="868"/>
    <cellStyle name="Обычный 5 3 6 2 2" xfId="2482"/>
    <cellStyle name="Обычный 5 3 6 3" xfId="1404"/>
    <cellStyle name="Обычный 5 3 6 3 2" xfId="3018"/>
    <cellStyle name="Обычный 5 3 6 4" xfId="1940"/>
    <cellStyle name="Обычный 5 3 7" xfId="598"/>
    <cellStyle name="Обычный 5 3 7 2" xfId="2212"/>
    <cellStyle name="Обычный 5 3 8" xfId="1136"/>
    <cellStyle name="Обычный 5 3 8 2" xfId="2750"/>
    <cellStyle name="Обычный 5 3 9" xfId="1672"/>
    <cellStyle name="Обычный 5 4" xfId="32"/>
    <cellStyle name="Обычный 5 4 2" xfId="127"/>
    <cellStyle name="Обычный 5 4 2 2" xfId="268"/>
    <cellStyle name="Обычный 5 4 2 2 2" xfId="537"/>
    <cellStyle name="Обычный 5 4 2 2 2 2" xfId="1080"/>
    <cellStyle name="Обычный 5 4 2 2 2 2 2" xfId="2694"/>
    <cellStyle name="Обычный 5 4 2 2 2 3" xfId="1616"/>
    <cellStyle name="Обычный 5 4 2 2 2 3 2" xfId="3230"/>
    <cellStyle name="Обычный 5 4 2 2 2 4" xfId="2152"/>
    <cellStyle name="Обычный 5 4 2 2 3" xfId="812"/>
    <cellStyle name="Обычный 5 4 2 2 3 2" xfId="2426"/>
    <cellStyle name="Обычный 5 4 2 2 4" xfId="1348"/>
    <cellStyle name="Обычный 5 4 2 2 4 2" xfId="2962"/>
    <cellStyle name="Обычный 5 4 2 2 5" xfId="1884"/>
    <cellStyle name="Обычный 5 4 2 3" xfId="405"/>
    <cellStyle name="Обычный 5 4 2 3 2" xfId="948"/>
    <cellStyle name="Обычный 5 4 2 3 2 2" xfId="2562"/>
    <cellStyle name="Обычный 5 4 2 3 3" xfId="1484"/>
    <cellStyle name="Обычный 5 4 2 3 3 2" xfId="3098"/>
    <cellStyle name="Обычный 5 4 2 3 4" xfId="2020"/>
    <cellStyle name="Обычный 5 4 2 4" xfId="679"/>
    <cellStyle name="Обычный 5 4 2 4 2" xfId="2293"/>
    <cellStyle name="Обычный 5 4 2 5" xfId="1216"/>
    <cellStyle name="Обычный 5 4 2 5 2" xfId="2830"/>
    <cellStyle name="Обычный 5 4 2 6" xfId="1752"/>
    <cellStyle name="Обычный 5 4 3" xfId="79"/>
    <cellStyle name="Обычный 5 4 3 2" xfId="223"/>
    <cellStyle name="Обычный 5 4 3 2 2" xfId="493"/>
    <cellStyle name="Обычный 5 4 3 2 2 2" xfId="1036"/>
    <cellStyle name="Обычный 5 4 3 2 2 2 2" xfId="2650"/>
    <cellStyle name="Обычный 5 4 3 2 2 3" xfId="1572"/>
    <cellStyle name="Обычный 5 4 3 2 2 3 2" xfId="3186"/>
    <cellStyle name="Обычный 5 4 3 2 2 4" xfId="2108"/>
    <cellStyle name="Обычный 5 4 3 2 3" xfId="768"/>
    <cellStyle name="Обычный 5 4 3 2 3 2" xfId="2382"/>
    <cellStyle name="Обычный 5 4 3 2 4" xfId="1304"/>
    <cellStyle name="Обычный 5 4 3 2 4 2" xfId="2918"/>
    <cellStyle name="Обычный 5 4 3 2 5" xfId="1840"/>
    <cellStyle name="Обычный 5 4 3 3" xfId="361"/>
    <cellStyle name="Обычный 5 4 3 3 2" xfId="904"/>
    <cellStyle name="Обычный 5 4 3 3 2 2" xfId="2518"/>
    <cellStyle name="Обычный 5 4 3 3 3" xfId="1440"/>
    <cellStyle name="Обычный 5 4 3 3 3 2" xfId="3054"/>
    <cellStyle name="Обычный 5 4 3 3 4" xfId="1976"/>
    <cellStyle name="Обычный 5 4 3 4" xfId="634"/>
    <cellStyle name="Обычный 5 4 3 4 2" xfId="2248"/>
    <cellStyle name="Обычный 5 4 3 5" xfId="1172"/>
    <cellStyle name="Обычный 5 4 3 5 2" xfId="2786"/>
    <cellStyle name="Обычный 5 4 3 6" xfId="1708"/>
    <cellStyle name="Обычный 5 4 4" xfId="178"/>
    <cellStyle name="Обычный 5 4 4 2" xfId="449"/>
    <cellStyle name="Обычный 5 4 4 2 2" xfId="992"/>
    <cellStyle name="Обычный 5 4 4 2 2 2" xfId="2606"/>
    <cellStyle name="Обычный 5 4 4 2 3" xfId="1528"/>
    <cellStyle name="Обычный 5 4 4 2 3 2" xfId="3142"/>
    <cellStyle name="Обычный 5 4 4 2 4" xfId="2064"/>
    <cellStyle name="Обычный 5 4 4 3" xfId="724"/>
    <cellStyle name="Обычный 5 4 4 3 2" xfId="2338"/>
    <cellStyle name="Обычный 5 4 4 4" xfId="1260"/>
    <cellStyle name="Обычный 5 4 4 4 2" xfId="2874"/>
    <cellStyle name="Обычный 5 4 4 5" xfId="1796"/>
    <cellStyle name="Обычный 5 4 5" xfId="317"/>
    <cellStyle name="Обычный 5 4 5 2" xfId="860"/>
    <cellStyle name="Обычный 5 4 5 2 2" xfId="2474"/>
    <cellStyle name="Обычный 5 4 5 3" xfId="1396"/>
    <cellStyle name="Обычный 5 4 5 3 2" xfId="3010"/>
    <cellStyle name="Обычный 5 4 5 4" xfId="1932"/>
    <cellStyle name="Обычный 5 4 6" xfId="589"/>
    <cellStyle name="Обычный 5 4 6 2" xfId="2203"/>
    <cellStyle name="Обычный 5 4 7" xfId="1128"/>
    <cellStyle name="Обычный 5 4 7 2" xfId="2742"/>
    <cellStyle name="Обычный 5 4 8" xfId="1664"/>
    <cellStyle name="Обычный 5 5" xfId="52"/>
    <cellStyle name="Обычный 5 5 2" xfId="147"/>
    <cellStyle name="Обычный 5 5 2 2" xfId="286"/>
    <cellStyle name="Обычный 5 5 2 2 2" xfId="554"/>
    <cellStyle name="Обычный 5 5 2 2 2 2" xfId="1097"/>
    <cellStyle name="Обычный 5 5 2 2 2 2 2" xfId="2711"/>
    <cellStyle name="Обычный 5 5 2 2 2 3" xfId="1633"/>
    <cellStyle name="Обычный 5 5 2 2 2 3 2" xfId="3247"/>
    <cellStyle name="Обычный 5 5 2 2 2 4" xfId="2169"/>
    <cellStyle name="Обычный 5 5 2 2 3" xfId="829"/>
    <cellStyle name="Обычный 5 5 2 2 3 2" xfId="2443"/>
    <cellStyle name="Обычный 5 5 2 2 4" xfId="1365"/>
    <cellStyle name="Обычный 5 5 2 2 4 2" xfId="2979"/>
    <cellStyle name="Обычный 5 5 2 2 5" xfId="1901"/>
    <cellStyle name="Обычный 5 5 2 3" xfId="422"/>
    <cellStyle name="Обычный 5 5 2 3 2" xfId="965"/>
    <cellStyle name="Обычный 5 5 2 3 2 2" xfId="2579"/>
    <cellStyle name="Обычный 5 5 2 3 3" xfId="1501"/>
    <cellStyle name="Обычный 5 5 2 3 3 2" xfId="3115"/>
    <cellStyle name="Обычный 5 5 2 3 4" xfId="2037"/>
    <cellStyle name="Обычный 5 5 2 4" xfId="697"/>
    <cellStyle name="Обычный 5 5 2 4 2" xfId="2311"/>
    <cellStyle name="Обычный 5 5 2 5" xfId="1233"/>
    <cellStyle name="Обычный 5 5 2 5 2" xfId="2847"/>
    <cellStyle name="Обычный 5 5 2 6" xfId="1769"/>
    <cellStyle name="Обычный 5 5 3" xfId="99"/>
    <cellStyle name="Обычный 5 5 3 2" xfId="241"/>
    <cellStyle name="Обычный 5 5 3 2 2" xfId="510"/>
    <cellStyle name="Обычный 5 5 3 2 2 2" xfId="1053"/>
    <cellStyle name="Обычный 5 5 3 2 2 2 2" xfId="2667"/>
    <cellStyle name="Обычный 5 5 3 2 2 3" xfId="1589"/>
    <cellStyle name="Обычный 5 5 3 2 2 3 2" xfId="3203"/>
    <cellStyle name="Обычный 5 5 3 2 2 4" xfId="2125"/>
    <cellStyle name="Обычный 5 5 3 2 3" xfId="785"/>
    <cellStyle name="Обычный 5 5 3 2 3 2" xfId="2399"/>
    <cellStyle name="Обычный 5 5 3 2 4" xfId="1321"/>
    <cellStyle name="Обычный 5 5 3 2 4 2" xfId="2935"/>
    <cellStyle name="Обычный 5 5 3 2 5" xfId="1857"/>
    <cellStyle name="Обычный 5 5 3 3" xfId="378"/>
    <cellStyle name="Обычный 5 5 3 3 2" xfId="921"/>
    <cellStyle name="Обычный 5 5 3 3 2 2" xfId="2535"/>
    <cellStyle name="Обычный 5 5 3 3 3" xfId="1457"/>
    <cellStyle name="Обычный 5 5 3 3 3 2" xfId="3071"/>
    <cellStyle name="Обычный 5 5 3 3 4" xfId="1993"/>
    <cellStyle name="Обычный 5 5 3 4" xfId="652"/>
    <cellStyle name="Обычный 5 5 3 4 2" xfId="2266"/>
    <cellStyle name="Обычный 5 5 3 5" xfId="1189"/>
    <cellStyle name="Обычный 5 5 3 5 2" xfId="2803"/>
    <cellStyle name="Обычный 5 5 3 6" xfId="1725"/>
    <cellStyle name="Обычный 5 5 4" xfId="196"/>
    <cellStyle name="Обычный 5 5 4 2" xfId="466"/>
    <cellStyle name="Обычный 5 5 4 2 2" xfId="1009"/>
    <cellStyle name="Обычный 5 5 4 2 2 2" xfId="2623"/>
    <cellStyle name="Обычный 5 5 4 2 3" xfId="1545"/>
    <cellStyle name="Обычный 5 5 4 2 3 2" xfId="3159"/>
    <cellStyle name="Обычный 5 5 4 2 4" xfId="2081"/>
    <cellStyle name="Обычный 5 5 4 3" xfId="741"/>
    <cellStyle name="Обычный 5 5 4 3 2" xfId="2355"/>
    <cellStyle name="Обычный 5 5 4 4" xfId="1277"/>
    <cellStyle name="Обычный 5 5 4 4 2" xfId="2891"/>
    <cellStyle name="Обычный 5 5 4 5" xfId="1813"/>
    <cellStyle name="Обычный 5 5 5" xfId="334"/>
    <cellStyle name="Обычный 5 5 5 2" xfId="877"/>
    <cellStyle name="Обычный 5 5 5 2 2" xfId="2491"/>
    <cellStyle name="Обычный 5 5 5 3" xfId="1413"/>
    <cellStyle name="Обычный 5 5 5 3 2" xfId="3027"/>
    <cellStyle name="Обычный 5 5 5 4" xfId="1949"/>
    <cellStyle name="Обычный 5 5 6" xfId="607"/>
    <cellStyle name="Обычный 5 5 6 2" xfId="2221"/>
    <cellStyle name="Обычный 5 5 7" xfId="1145"/>
    <cellStyle name="Обычный 5 5 7 2" xfId="2759"/>
    <cellStyle name="Обычный 5 5 8" xfId="1681"/>
    <cellStyle name="Обычный 5 6" xfId="118"/>
    <cellStyle name="Обычный 5 6 2" xfId="259"/>
    <cellStyle name="Обычный 5 6 2 2" xfId="528"/>
    <cellStyle name="Обычный 5 6 2 2 2" xfId="1071"/>
    <cellStyle name="Обычный 5 6 2 2 2 2" xfId="2685"/>
    <cellStyle name="Обычный 5 6 2 2 3" xfId="1607"/>
    <cellStyle name="Обычный 5 6 2 2 3 2" xfId="3221"/>
    <cellStyle name="Обычный 5 6 2 2 4" xfId="2143"/>
    <cellStyle name="Обычный 5 6 2 3" xfId="803"/>
    <cellStyle name="Обычный 5 6 2 3 2" xfId="2417"/>
    <cellStyle name="Обычный 5 6 2 4" xfId="1339"/>
    <cellStyle name="Обычный 5 6 2 4 2" xfId="2953"/>
    <cellStyle name="Обычный 5 6 2 5" xfId="1875"/>
    <cellStyle name="Обычный 5 6 3" xfId="396"/>
    <cellStyle name="Обычный 5 6 3 2" xfId="939"/>
    <cellStyle name="Обычный 5 6 3 2 2" xfId="2553"/>
    <cellStyle name="Обычный 5 6 3 3" xfId="1475"/>
    <cellStyle name="Обычный 5 6 3 3 2" xfId="3089"/>
    <cellStyle name="Обычный 5 6 3 4" xfId="2011"/>
    <cellStyle name="Обычный 5 6 4" xfId="670"/>
    <cellStyle name="Обычный 5 6 4 2" xfId="2284"/>
    <cellStyle name="Обычный 5 6 5" xfId="1207"/>
    <cellStyle name="Обычный 5 6 5 2" xfId="2821"/>
    <cellStyle name="Обычный 5 6 6" xfId="1743"/>
    <cellStyle name="Обычный 5 7" xfId="70"/>
    <cellStyle name="Обычный 5 7 2" xfId="214"/>
    <cellStyle name="Обычный 5 7 2 2" xfId="484"/>
    <cellStyle name="Обычный 5 7 2 2 2" xfId="1027"/>
    <cellStyle name="Обычный 5 7 2 2 2 2" xfId="2641"/>
    <cellStyle name="Обычный 5 7 2 2 3" xfId="1563"/>
    <cellStyle name="Обычный 5 7 2 2 3 2" xfId="3177"/>
    <cellStyle name="Обычный 5 7 2 2 4" xfId="2099"/>
    <cellStyle name="Обычный 5 7 2 3" xfId="759"/>
    <cellStyle name="Обычный 5 7 2 3 2" xfId="2373"/>
    <cellStyle name="Обычный 5 7 2 4" xfId="1295"/>
    <cellStyle name="Обычный 5 7 2 4 2" xfId="2909"/>
    <cellStyle name="Обычный 5 7 2 5" xfId="1831"/>
    <cellStyle name="Обычный 5 7 3" xfId="352"/>
    <cellStyle name="Обычный 5 7 3 2" xfId="895"/>
    <cellStyle name="Обычный 5 7 3 2 2" xfId="2509"/>
    <cellStyle name="Обычный 5 7 3 3" xfId="1431"/>
    <cellStyle name="Обычный 5 7 3 3 2" xfId="3045"/>
    <cellStyle name="Обычный 5 7 3 4" xfId="1967"/>
    <cellStyle name="Обычный 5 7 4" xfId="625"/>
    <cellStyle name="Обычный 5 7 4 2" xfId="2239"/>
    <cellStyle name="Обычный 5 7 5" xfId="1163"/>
    <cellStyle name="Обычный 5 7 5 2" xfId="2777"/>
    <cellStyle name="Обычный 5 7 6" xfId="1699"/>
    <cellStyle name="Обычный 5 8" xfId="166"/>
    <cellStyle name="Обычный 5 8 2" xfId="440"/>
    <cellStyle name="Обычный 5 8 2 2" xfId="983"/>
    <cellStyle name="Обычный 5 8 2 2 2" xfId="2597"/>
    <cellStyle name="Обычный 5 8 2 3" xfId="1519"/>
    <cellStyle name="Обычный 5 8 2 3 2" xfId="3133"/>
    <cellStyle name="Обычный 5 8 2 4" xfId="2055"/>
    <cellStyle name="Обычный 5 8 3" xfId="715"/>
    <cellStyle name="Обычный 5 8 3 2" xfId="2329"/>
    <cellStyle name="Обычный 5 8 4" xfId="1251"/>
    <cellStyle name="Обычный 5 8 4 2" xfId="2865"/>
    <cellStyle name="Обычный 5 8 5" xfId="1787"/>
    <cellStyle name="Обычный 5 9" xfId="308"/>
    <cellStyle name="Обычный 5 9 2" xfId="851"/>
    <cellStyle name="Обычный 5 9 2 2" xfId="2465"/>
    <cellStyle name="Обычный 5 9 3" xfId="1387"/>
    <cellStyle name="Обычный 5 9 3 2" xfId="3001"/>
    <cellStyle name="Обычный 5 9 4" xfId="1923"/>
    <cellStyle name="Обычный 6" xfId="22"/>
    <cellStyle name="Обычный 6 10" xfId="1657"/>
    <cellStyle name="Обычный 6 2" xfId="45"/>
    <cellStyle name="Обычный 6 2 2" xfId="63"/>
    <cellStyle name="Обычный 6 2 2 2" xfId="158"/>
    <cellStyle name="Обычный 6 2 2 2 2" xfId="297"/>
    <cellStyle name="Обычный 6 2 2 2 2 2" xfId="565"/>
    <cellStyle name="Обычный 6 2 2 2 2 2 2" xfId="1108"/>
    <cellStyle name="Обычный 6 2 2 2 2 2 2 2" xfId="2722"/>
    <cellStyle name="Обычный 6 2 2 2 2 2 3" xfId="1644"/>
    <cellStyle name="Обычный 6 2 2 2 2 2 3 2" xfId="3258"/>
    <cellStyle name="Обычный 6 2 2 2 2 2 4" xfId="2180"/>
    <cellStyle name="Обычный 6 2 2 2 2 3" xfId="840"/>
    <cellStyle name="Обычный 6 2 2 2 2 3 2" xfId="2454"/>
    <cellStyle name="Обычный 6 2 2 2 2 4" xfId="1376"/>
    <cellStyle name="Обычный 6 2 2 2 2 4 2" xfId="2990"/>
    <cellStyle name="Обычный 6 2 2 2 2 5" xfId="1912"/>
    <cellStyle name="Обычный 6 2 2 2 3" xfId="433"/>
    <cellStyle name="Обычный 6 2 2 2 3 2" xfId="976"/>
    <cellStyle name="Обычный 6 2 2 2 3 2 2" xfId="2590"/>
    <cellStyle name="Обычный 6 2 2 2 3 3" xfId="1512"/>
    <cellStyle name="Обычный 6 2 2 2 3 3 2" xfId="3126"/>
    <cellStyle name="Обычный 6 2 2 2 3 4" xfId="2048"/>
    <cellStyle name="Обычный 6 2 2 2 4" xfId="708"/>
    <cellStyle name="Обычный 6 2 2 2 4 2" xfId="2322"/>
    <cellStyle name="Обычный 6 2 2 2 5" xfId="1244"/>
    <cellStyle name="Обычный 6 2 2 2 5 2" xfId="2858"/>
    <cellStyle name="Обычный 6 2 2 2 6" xfId="1780"/>
    <cellStyle name="Обычный 6 2 2 3" xfId="110"/>
    <cellStyle name="Обычный 6 2 2 3 2" xfId="252"/>
    <cellStyle name="Обычный 6 2 2 3 2 2" xfId="521"/>
    <cellStyle name="Обычный 6 2 2 3 2 2 2" xfId="1064"/>
    <cellStyle name="Обычный 6 2 2 3 2 2 2 2" xfId="2678"/>
    <cellStyle name="Обычный 6 2 2 3 2 2 3" xfId="1600"/>
    <cellStyle name="Обычный 6 2 2 3 2 2 3 2" xfId="3214"/>
    <cellStyle name="Обычный 6 2 2 3 2 2 4" xfId="2136"/>
    <cellStyle name="Обычный 6 2 2 3 2 3" xfId="796"/>
    <cellStyle name="Обычный 6 2 2 3 2 3 2" xfId="2410"/>
    <cellStyle name="Обычный 6 2 2 3 2 4" xfId="1332"/>
    <cellStyle name="Обычный 6 2 2 3 2 4 2" xfId="2946"/>
    <cellStyle name="Обычный 6 2 2 3 2 5" xfId="1868"/>
    <cellStyle name="Обычный 6 2 2 3 3" xfId="389"/>
    <cellStyle name="Обычный 6 2 2 3 3 2" xfId="932"/>
    <cellStyle name="Обычный 6 2 2 3 3 2 2" xfId="2546"/>
    <cellStyle name="Обычный 6 2 2 3 3 3" xfId="1468"/>
    <cellStyle name="Обычный 6 2 2 3 3 3 2" xfId="3082"/>
    <cellStyle name="Обычный 6 2 2 3 3 4" xfId="2004"/>
    <cellStyle name="Обычный 6 2 2 3 4" xfId="663"/>
    <cellStyle name="Обычный 6 2 2 3 4 2" xfId="2277"/>
    <cellStyle name="Обычный 6 2 2 3 5" xfId="1200"/>
    <cellStyle name="Обычный 6 2 2 3 5 2" xfId="2814"/>
    <cellStyle name="Обычный 6 2 2 3 6" xfId="1736"/>
    <cellStyle name="Обычный 6 2 2 4" xfId="207"/>
    <cellStyle name="Обычный 6 2 2 4 2" xfId="477"/>
    <cellStyle name="Обычный 6 2 2 4 2 2" xfId="1020"/>
    <cellStyle name="Обычный 6 2 2 4 2 2 2" xfId="2634"/>
    <cellStyle name="Обычный 6 2 2 4 2 3" xfId="1556"/>
    <cellStyle name="Обычный 6 2 2 4 2 3 2" xfId="3170"/>
    <cellStyle name="Обычный 6 2 2 4 2 4" xfId="2092"/>
    <cellStyle name="Обычный 6 2 2 4 3" xfId="752"/>
    <cellStyle name="Обычный 6 2 2 4 3 2" xfId="2366"/>
    <cellStyle name="Обычный 6 2 2 4 4" xfId="1288"/>
    <cellStyle name="Обычный 6 2 2 4 4 2" xfId="2902"/>
    <cellStyle name="Обычный 6 2 2 4 5" xfId="1824"/>
    <cellStyle name="Обычный 6 2 2 5" xfId="345"/>
    <cellStyle name="Обычный 6 2 2 5 2" xfId="888"/>
    <cellStyle name="Обычный 6 2 2 5 2 2" xfId="2502"/>
    <cellStyle name="Обычный 6 2 2 5 3" xfId="1424"/>
    <cellStyle name="Обычный 6 2 2 5 3 2" xfId="3038"/>
    <cellStyle name="Обычный 6 2 2 5 4" xfId="1960"/>
    <cellStyle name="Обычный 6 2 2 6" xfId="618"/>
    <cellStyle name="Обычный 6 2 2 6 2" xfId="2232"/>
    <cellStyle name="Обычный 6 2 2 7" xfId="1156"/>
    <cellStyle name="Обычный 6 2 2 7 2" xfId="2770"/>
    <cellStyle name="Обычный 6 2 2 8" xfId="1692"/>
    <cellStyle name="Обычный 6 2 3" xfId="140"/>
    <cellStyle name="Обычный 6 2 3 2" xfId="279"/>
    <cellStyle name="Обычный 6 2 3 2 2" xfId="547"/>
    <cellStyle name="Обычный 6 2 3 2 2 2" xfId="1090"/>
    <cellStyle name="Обычный 6 2 3 2 2 2 2" xfId="2704"/>
    <cellStyle name="Обычный 6 2 3 2 2 3" xfId="1626"/>
    <cellStyle name="Обычный 6 2 3 2 2 3 2" xfId="3240"/>
    <cellStyle name="Обычный 6 2 3 2 2 4" xfId="2162"/>
    <cellStyle name="Обычный 6 2 3 2 3" xfId="822"/>
    <cellStyle name="Обычный 6 2 3 2 3 2" xfId="2436"/>
    <cellStyle name="Обычный 6 2 3 2 4" xfId="1358"/>
    <cellStyle name="Обычный 6 2 3 2 4 2" xfId="2972"/>
    <cellStyle name="Обычный 6 2 3 2 5" xfId="1894"/>
    <cellStyle name="Обычный 6 2 3 3" xfId="415"/>
    <cellStyle name="Обычный 6 2 3 3 2" xfId="958"/>
    <cellStyle name="Обычный 6 2 3 3 2 2" xfId="2572"/>
    <cellStyle name="Обычный 6 2 3 3 3" xfId="1494"/>
    <cellStyle name="Обычный 6 2 3 3 3 2" xfId="3108"/>
    <cellStyle name="Обычный 6 2 3 3 4" xfId="2030"/>
    <cellStyle name="Обычный 6 2 3 4" xfId="690"/>
    <cellStyle name="Обычный 6 2 3 4 2" xfId="2304"/>
    <cellStyle name="Обычный 6 2 3 5" xfId="1226"/>
    <cellStyle name="Обычный 6 2 3 5 2" xfId="2840"/>
    <cellStyle name="Обычный 6 2 3 6" xfId="1762"/>
    <cellStyle name="Обычный 6 2 4" xfId="92"/>
    <cellStyle name="Обычный 6 2 4 2" xfId="234"/>
    <cellStyle name="Обычный 6 2 4 2 2" xfId="503"/>
    <cellStyle name="Обычный 6 2 4 2 2 2" xfId="1046"/>
    <cellStyle name="Обычный 6 2 4 2 2 2 2" xfId="2660"/>
    <cellStyle name="Обычный 6 2 4 2 2 3" xfId="1582"/>
    <cellStyle name="Обычный 6 2 4 2 2 3 2" xfId="3196"/>
    <cellStyle name="Обычный 6 2 4 2 2 4" xfId="2118"/>
    <cellStyle name="Обычный 6 2 4 2 3" xfId="778"/>
    <cellStyle name="Обычный 6 2 4 2 3 2" xfId="2392"/>
    <cellStyle name="Обычный 6 2 4 2 4" xfId="1314"/>
    <cellStyle name="Обычный 6 2 4 2 4 2" xfId="2928"/>
    <cellStyle name="Обычный 6 2 4 2 5" xfId="1850"/>
    <cellStyle name="Обычный 6 2 4 3" xfId="371"/>
    <cellStyle name="Обычный 6 2 4 3 2" xfId="914"/>
    <cellStyle name="Обычный 6 2 4 3 2 2" xfId="2528"/>
    <cellStyle name="Обычный 6 2 4 3 3" xfId="1450"/>
    <cellStyle name="Обычный 6 2 4 3 3 2" xfId="3064"/>
    <cellStyle name="Обычный 6 2 4 3 4" xfId="1986"/>
    <cellStyle name="Обычный 6 2 4 4" xfId="645"/>
    <cellStyle name="Обычный 6 2 4 4 2" xfId="2259"/>
    <cellStyle name="Обычный 6 2 4 5" xfId="1182"/>
    <cellStyle name="Обычный 6 2 4 5 2" xfId="2796"/>
    <cellStyle name="Обычный 6 2 4 6" xfId="1718"/>
    <cellStyle name="Обычный 6 2 5" xfId="189"/>
    <cellStyle name="Обычный 6 2 5 2" xfId="459"/>
    <cellStyle name="Обычный 6 2 5 2 2" xfId="1002"/>
    <cellStyle name="Обычный 6 2 5 2 2 2" xfId="2616"/>
    <cellStyle name="Обычный 6 2 5 2 3" xfId="1538"/>
    <cellStyle name="Обычный 6 2 5 2 3 2" xfId="3152"/>
    <cellStyle name="Обычный 6 2 5 2 4" xfId="2074"/>
    <cellStyle name="Обычный 6 2 5 3" xfId="734"/>
    <cellStyle name="Обычный 6 2 5 3 2" xfId="2348"/>
    <cellStyle name="Обычный 6 2 5 4" xfId="1270"/>
    <cellStyle name="Обычный 6 2 5 4 2" xfId="2884"/>
    <cellStyle name="Обычный 6 2 5 5" xfId="1806"/>
    <cellStyle name="Обычный 6 2 6" xfId="327"/>
    <cellStyle name="Обычный 6 2 6 2" xfId="870"/>
    <cellStyle name="Обычный 6 2 6 2 2" xfId="2484"/>
    <cellStyle name="Обычный 6 2 6 3" xfId="1406"/>
    <cellStyle name="Обычный 6 2 6 3 2" xfId="3020"/>
    <cellStyle name="Обычный 6 2 6 4" xfId="1942"/>
    <cellStyle name="Обычный 6 2 7" xfId="600"/>
    <cellStyle name="Обычный 6 2 7 2" xfId="2214"/>
    <cellStyle name="Обычный 6 2 8" xfId="1138"/>
    <cellStyle name="Обычный 6 2 8 2" xfId="2752"/>
    <cellStyle name="Обычный 6 2 9" xfId="1674"/>
    <cellStyle name="Обычный 6 3" xfId="58"/>
    <cellStyle name="Обычный 6 3 2" xfId="153"/>
    <cellStyle name="Обычный 6 3 2 2" xfId="292"/>
    <cellStyle name="Обычный 6 3 2 2 2" xfId="560"/>
    <cellStyle name="Обычный 6 3 2 2 2 2" xfId="1103"/>
    <cellStyle name="Обычный 6 3 2 2 2 2 2" xfId="2717"/>
    <cellStyle name="Обычный 6 3 2 2 2 3" xfId="1639"/>
    <cellStyle name="Обычный 6 3 2 2 2 3 2" xfId="3253"/>
    <cellStyle name="Обычный 6 3 2 2 2 4" xfId="2175"/>
    <cellStyle name="Обычный 6 3 2 2 3" xfId="835"/>
    <cellStyle name="Обычный 6 3 2 2 3 2" xfId="2449"/>
    <cellStyle name="Обычный 6 3 2 2 4" xfId="1371"/>
    <cellStyle name="Обычный 6 3 2 2 4 2" xfId="2985"/>
    <cellStyle name="Обычный 6 3 2 2 5" xfId="1907"/>
    <cellStyle name="Обычный 6 3 2 3" xfId="428"/>
    <cellStyle name="Обычный 6 3 2 3 2" xfId="971"/>
    <cellStyle name="Обычный 6 3 2 3 2 2" xfId="2585"/>
    <cellStyle name="Обычный 6 3 2 3 3" xfId="1507"/>
    <cellStyle name="Обычный 6 3 2 3 3 2" xfId="3121"/>
    <cellStyle name="Обычный 6 3 2 3 4" xfId="2043"/>
    <cellStyle name="Обычный 6 3 2 4" xfId="703"/>
    <cellStyle name="Обычный 6 3 2 4 2" xfId="2317"/>
    <cellStyle name="Обычный 6 3 2 5" xfId="1239"/>
    <cellStyle name="Обычный 6 3 2 5 2" xfId="2853"/>
    <cellStyle name="Обычный 6 3 2 6" xfId="1775"/>
    <cellStyle name="Обычный 6 3 3" xfId="105"/>
    <cellStyle name="Обычный 6 3 3 2" xfId="247"/>
    <cellStyle name="Обычный 6 3 3 2 2" xfId="516"/>
    <cellStyle name="Обычный 6 3 3 2 2 2" xfId="1059"/>
    <cellStyle name="Обычный 6 3 3 2 2 2 2" xfId="2673"/>
    <cellStyle name="Обычный 6 3 3 2 2 3" xfId="1595"/>
    <cellStyle name="Обычный 6 3 3 2 2 3 2" xfId="3209"/>
    <cellStyle name="Обычный 6 3 3 2 2 4" xfId="2131"/>
    <cellStyle name="Обычный 6 3 3 2 3" xfId="791"/>
    <cellStyle name="Обычный 6 3 3 2 3 2" xfId="2405"/>
    <cellStyle name="Обычный 6 3 3 2 4" xfId="1327"/>
    <cellStyle name="Обычный 6 3 3 2 4 2" xfId="2941"/>
    <cellStyle name="Обычный 6 3 3 2 5" xfId="1863"/>
    <cellStyle name="Обычный 6 3 3 3" xfId="384"/>
    <cellStyle name="Обычный 6 3 3 3 2" xfId="927"/>
    <cellStyle name="Обычный 6 3 3 3 2 2" xfId="2541"/>
    <cellStyle name="Обычный 6 3 3 3 3" xfId="1463"/>
    <cellStyle name="Обычный 6 3 3 3 3 2" xfId="3077"/>
    <cellStyle name="Обычный 6 3 3 3 4" xfId="1999"/>
    <cellStyle name="Обычный 6 3 3 4" xfId="658"/>
    <cellStyle name="Обычный 6 3 3 4 2" xfId="2272"/>
    <cellStyle name="Обычный 6 3 3 5" xfId="1195"/>
    <cellStyle name="Обычный 6 3 3 5 2" xfId="2809"/>
    <cellStyle name="Обычный 6 3 3 6" xfId="1731"/>
    <cellStyle name="Обычный 6 3 4" xfId="202"/>
    <cellStyle name="Обычный 6 3 4 2" xfId="472"/>
    <cellStyle name="Обычный 6 3 4 2 2" xfId="1015"/>
    <cellStyle name="Обычный 6 3 4 2 2 2" xfId="2629"/>
    <cellStyle name="Обычный 6 3 4 2 3" xfId="1551"/>
    <cellStyle name="Обычный 6 3 4 2 3 2" xfId="3165"/>
    <cellStyle name="Обычный 6 3 4 2 4" xfId="2087"/>
    <cellStyle name="Обычный 6 3 4 3" xfId="747"/>
    <cellStyle name="Обычный 6 3 4 3 2" xfId="2361"/>
    <cellStyle name="Обычный 6 3 4 4" xfId="1283"/>
    <cellStyle name="Обычный 6 3 4 4 2" xfId="2897"/>
    <cellStyle name="Обычный 6 3 4 5" xfId="1819"/>
    <cellStyle name="Обычный 6 3 5" xfId="340"/>
    <cellStyle name="Обычный 6 3 5 2" xfId="883"/>
    <cellStyle name="Обычный 6 3 5 2 2" xfId="2497"/>
    <cellStyle name="Обычный 6 3 5 3" xfId="1419"/>
    <cellStyle name="Обычный 6 3 5 3 2" xfId="3033"/>
    <cellStyle name="Обычный 6 3 5 4" xfId="1955"/>
    <cellStyle name="Обычный 6 3 6" xfId="613"/>
    <cellStyle name="Обычный 6 3 6 2" xfId="2227"/>
    <cellStyle name="Обычный 6 3 7" xfId="1151"/>
    <cellStyle name="Обычный 6 3 7 2" xfId="2765"/>
    <cellStyle name="Обычный 6 3 8" xfId="1687"/>
    <cellStyle name="Обычный 6 4" xfId="120"/>
    <cellStyle name="Обычный 6 4 2" xfId="261"/>
    <cellStyle name="Обычный 6 4 2 2" xfId="530"/>
    <cellStyle name="Обычный 6 4 2 2 2" xfId="1073"/>
    <cellStyle name="Обычный 6 4 2 2 2 2" xfId="2687"/>
    <cellStyle name="Обычный 6 4 2 2 3" xfId="1609"/>
    <cellStyle name="Обычный 6 4 2 2 3 2" xfId="3223"/>
    <cellStyle name="Обычный 6 4 2 2 4" xfId="2145"/>
    <cellStyle name="Обычный 6 4 2 3" xfId="805"/>
    <cellStyle name="Обычный 6 4 2 3 2" xfId="2419"/>
    <cellStyle name="Обычный 6 4 2 4" xfId="1341"/>
    <cellStyle name="Обычный 6 4 2 4 2" xfId="2955"/>
    <cellStyle name="Обычный 6 4 2 5" xfId="1877"/>
    <cellStyle name="Обычный 6 4 3" xfId="398"/>
    <cellStyle name="Обычный 6 4 3 2" xfId="941"/>
    <cellStyle name="Обычный 6 4 3 2 2" xfId="2555"/>
    <cellStyle name="Обычный 6 4 3 3" xfId="1477"/>
    <cellStyle name="Обычный 6 4 3 3 2" xfId="3091"/>
    <cellStyle name="Обычный 6 4 3 4" xfId="2013"/>
    <cellStyle name="Обычный 6 4 4" xfId="672"/>
    <cellStyle name="Обычный 6 4 4 2" xfId="2286"/>
    <cellStyle name="Обычный 6 4 5" xfId="1209"/>
    <cellStyle name="Обычный 6 4 5 2" xfId="2823"/>
    <cellStyle name="Обычный 6 4 6" xfId="1745"/>
    <cellStyle name="Обычный 6 5" xfId="72"/>
    <cellStyle name="Обычный 6 5 2" xfId="216"/>
    <cellStyle name="Обычный 6 5 2 2" xfId="486"/>
    <cellStyle name="Обычный 6 5 2 2 2" xfId="1029"/>
    <cellStyle name="Обычный 6 5 2 2 2 2" xfId="2643"/>
    <cellStyle name="Обычный 6 5 2 2 3" xfId="1565"/>
    <cellStyle name="Обычный 6 5 2 2 3 2" xfId="3179"/>
    <cellStyle name="Обычный 6 5 2 2 4" xfId="2101"/>
    <cellStyle name="Обычный 6 5 2 3" xfId="761"/>
    <cellStyle name="Обычный 6 5 2 3 2" xfId="2375"/>
    <cellStyle name="Обычный 6 5 2 4" xfId="1297"/>
    <cellStyle name="Обычный 6 5 2 4 2" xfId="2911"/>
    <cellStyle name="Обычный 6 5 2 5" xfId="1833"/>
    <cellStyle name="Обычный 6 5 3" xfId="354"/>
    <cellStyle name="Обычный 6 5 3 2" xfId="897"/>
    <cellStyle name="Обычный 6 5 3 2 2" xfId="2511"/>
    <cellStyle name="Обычный 6 5 3 3" xfId="1433"/>
    <cellStyle name="Обычный 6 5 3 3 2" xfId="3047"/>
    <cellStyle name="Обычный 6 5 3 4" xfId="1969"/>
    <cellStyle name="Обычный 6 5 4" xfId="627"/>
    <cellStyle name="Обычный 6 5 4 2" xfId="2241"/>
    <cellStyle name="Обычный 6 5 5" xfId="1165"/>
    <cellStyle name="Обычный 6 5 5 2" xfId="2779"/>
    <cellStyle name="Обычный 6 5 6" xfId="1701"/>
    <cellStyle name="Обычный 6 6" xfId="170"/>
    <cellStyle name="Обычный 6 6 2" xfId="442"/>
    <cellStyle name="Обычный 6 6 2 2" xfId="985"/>
    <cellStyle name="Обычный 6 6 2 2 2" xfId="2599"/>
    <cellStyle name="Обычный 6 6 2 3" xfId="1521"/>
    <cellStyle name="Обычный 6 6 2 3 2" xfId="3135"/>
    <cellStyle name="Обычный 6 6 2 4" xfId="2057"/>
    <cellStyle name="Обычный 6 6 3" xfId="717"/>
    <cellStyle name="Обычный 6 6 3 2" xfId="2331"/>
    <cellStyle name="Обычный 6 6 4" xfId="1253"/>
    <cellStyle name="Обычный 6 6 4 2" xfId="2867"/>
    <cellStyle name="Обычный 6 6 5" xfId="1789"/>
    <cellStyle name="Обычный 6 7" xfId="310"/>
    <cellStyle name="Обычный 6 7 2" xfId="853"/>
    <cellStyle name="Обычный 6 7 2 2" xfId="2467"/>
    <cellStyle name="Обычный 6 7 3" xfId="1389"/>
    <cellStyle name="Обычный 6 7 3 2" xfId="3003"/>
    <cellStyle name="Обычный 6 7 4" xfId="1925"/>
    <cellStyle name="Обычный 6 8" xfId="581"/>
    <cellStyle name="Обычный 6 8 2" xfId="2195"/>
    <cellStyle name="Обычный 6 9" xfId="1121"/>
    <cellStyle name="Обычный 6 9 2" xfId="2735"/>
    <cellStyle name="Обычный 7" xfId="1"/>
    <cellStyle name="Обычный 7 2" xfId="574"/>
    <cellStyle name="Обычный 8" xfId="3267"/>
    <cellStyle name="Обычный 9" xfId="3268"/>
    <cellStyle name="Процентный 2" xfId="3"/>
    <cellStyle name="Финансовый 2" xfId="11"/>
    <cellStyle name="Финансовый 2 10" xfId="307"/>
    <cellStyle name="Финансовый 2 10 2" xfId="850"/>
    <cellStyle name="Финансовый 2 10 2 2" xfId="2464"/>
    <cellStyle name="Финансовый 2 10 3" xfId="1386"/>
    <cellStyle name="Финансовый 2 10 3 2" xfId="3000"/>
    <cellStyle name="Финансовый 2 10 4" xfId="1922"/>
    <cellStyle name="Финансовый 2 11" xfId="576"/>
    <cellStyle name="Финансовый 2 11 2" xfId="2190"/>
    <cellStyle name="Финансовый 2 12" xfId="1118"/>
    <cellStyle name="Финансовый 2 12 2" xfId="2732"/>
    <cellStyle name="Финансовый 2 13" xfId="1654"/>
    <cellStyle name="Финансовый 2 2" xfId="20"/>
    <cellStyle name="Финансовый 2 2 2" xfId="168"/>
    <cellStyle name="Финансовый 2 2 3" xfId="579"/>
    <cellStyle name="Финансовый 2 2 3 2" xfId="2193"/>
    <cellStyle name="Финансовый 2 2 3 2 2" xfId="3281"/>
    <cellStyle name="Финансовый 2 2 3 3" xfId="3275"/>
    <cellStyle name="Финансовый 2 2 4" xfId="3269"/>
    <cellStyle name="Финансовый 2 3" xfId="24"/>
    <cellStyle name="Финансовый 2 3 10" xfId="312"/>
    <cellStyle name="Финансовый 2 3 10 2" xfId="855"/>
    <cellStyle name="Финансовый 2 3 10 2 2" xfId="2469"/>
    <cellStyle name="Финансовый 2 3 10 3" xfId="1391"/>
    <cellStyle name="Финансовый 2 3 10 3 2" xfId="3005"/>
    <cellStyle name="Финансовый 2 3 10 4" xfId="1927"/>
    <cellStyle name="Финансовый 2 3 11" xfId="583"/>
    <cellStyle name="Финансовый 2 3 11 2" xfId="2197"/>
    <cellStyle name="Финансовый 2 3 12" xfId="1123"/>
    <cellStyle name="Финансовый 2 3 12 2" xfId="2737"/>
    <cellStyle name="Финансовый 2 3 13" xfId="1659"/>
    <cellStyle name="Финансовый 2 3 2" xfId="47"/>
    <cellStyle name="Финансовый 2 3 2 2" xfId="65"/>
    <cellStyle name="Финансовый 2 3 2 2 2" xfId="160"/>
    <cellStyle name="Финансовый 2 3 2 2 2 2" xfId="299"/>
    <cellStyle name="Финансовый 2 3 2 2 2 2 2" xfId="567"/>
    <cellStyle name="Финансовый 2 3 2 2 2 2 2 2" xfId="1110"/>
    <cellStyle name="Финансовый 2 3 2 2 2 2 2 2 2" xfId="2724"/>
    <cellStyle name="Финансовый 2 3 2 2 2 2 2 3" xfId="1646"/>
    <cellStyle name="Финансовый 2 3 2 2 2 2 2 3 2" xfId="3260"/>
    <cellStyle name="Финансовый 2 3 2 2 2 2 2 4" xfId="2182"/>
    <cellStyle name="Финансовый 2 3 2 2 2 2 3" xfId="842"/>
    <cellStyle name="Финансовый 2 3 2 2 2 2 3 2" xfId="2456"/>
    <cellStyle name="Финансовый 2 3 2 2 2 2 4" xfId="1378"/>
    <cellStyle name="Финансовый 2 3 2 2 2 2 4 2" xfId="2992"/>
    <cellStyle name="Финансовый 2 3 2 2 2 2 5" xfId="1914"/>
    <cellStyle name="Финансовый 2 3 2 2 2 3" xfId="435"/>
    <cellStyle name="Финансовый 2 3 2 2 2 3 2" xfId="978"/>
    <cellStyle name="Финансовый 2 3 2 2 2 3 2 2" xfId="2592"/>
    <cellStyle name="Финансовый 2 3 2 2 2 3 3" xfId="1514"/>
    <cellStyle name="Финансовый 2 3 2 2 2 3 3 2" xfId="3128"/>
    <cellStyle name="Финансовый 2 3 2 2 2 3 4" xfId="2050"/>
    <cellStyle name="Финансовый 2 3 2 2 2 4" xfId="710"/>
    <cellStyle name="Финансовый 2 3 2 2 2 4 2" xfId="2324"/>
    <cellStyle name="Финансовый 2 3 2 2 2 5" xfId="1246"/>
    <cellStyle name="Финансовый 2 3 2 2 2 5 2" xfId="2860"/>
    <cellStyle name="Финансовый 2 3 2 2 2 6" xfId="1782"/>
    <cellStyle name="Финансовый 2 3 2 2 3" xfId="112"/>
    <cellStyle name="Финансовый 2 3 2 2 3 2" xfId="254"/>
    <cellStyle name="Финансовый 2 3 2 2 3 2 2" xfId="523"/>
    <cellStyle name="Финансовый 2 3 2 2 3 2 2 2" xfId="1066"/>
    <cellStyle name="Финансовый 2 3 2 2 3 2 2 2 2" xfId="2680"/>
    <cellStyle name="Финансовый 2 3 2 2 3 2 2 3" xfId="1602"/>
    <cellStyle name="Финансовый 2 3 2 2 3 2 2 3 2" xfId="3216"/>
    <cellStyle name="Финансовый 2 3 2 2 3 2 2 4" xfId="2138"/>
    <cellStyle name="Финансовый 2 3 2 2 3 2 3" xfId="798"/>
    <cellStyle name="Финансовый 2 3 2 2 3 2 3 2" xfId="2412"/>
    <cellStyle name="Финансовый 2 3 2 2 3 2 4" xfId="1334"/>
    <cellStyle name="Финансовый 2 3 2 2 3 2 4 2" xfId="2948"/>
    <cellStyle name="Финансовый 2 3 2 2 3 2 5" xfId="1870"/>
    <cellStyle name="Финансовый 2 3 2 2 3 3" xfId="391"/>
    <cellStyle name="Финансовый 2 3 2 2 3 3 2" xfId="934"/>
    <cellStyle name="Финансовый 2 3 2 2 3 3 2 2" xfId="2548"/>
    <cellStyle name="Финансовый 2 3 2 2 3 3 3" xfId="1470"/>
    <cellStyle name="Финансовый 2 3 2 2 3 3 3 2" xfId="3084"/>
    <cellStyle name="Финансовый 2 3 2 2 3 3 4" xfId="2006"/>
    <cellStyle name="Финансовый 2 3 2 2 3 4" xfId="665"/>
    <cellStyle name="Финансовый 2 3 2 2 3 4 2" xfId="2279"/>
    <cellStyle name="Финансовый 2 3 2 2 3 5" xfId="1202"/>
    <cellStyle name="Финансовый 2 3 2 2 3 5 2" xfId="2816"/>
    <cellStyle name="Финансовый 2 3 2 2 3 6" xfId="1738"/>
    <cellStyle name="Финансовый 2 3 2 2 4" xfId="209"/>
    <cellStyle name="Финансовый 2 3 2 2 4 2" xfId="479"/>
    <cellStyle name="Финансовый 2 3 2 2 4 2 2" xfId="1022"/>
    <cellStyle name="Финансовый 2 3 2 2 4 2 2 2" xfId="2636"/>
    <cellStyle name="Финансовый 2 3 2 2 4 2 3" xfId="1558"/>
    <cellStyle name="Финансовый 2 3 2 2 4 2 3 2" xfId="3172"/>
    <cellStyle name="Финансовый 2 3 2 2 4 2 4" xfId="2094"/>
    <cellStyle name="Финансовый 2 3 2 2 4 3" xfId="754"/>
    <cellStyle name="Финансовый 2 3 2 2 4 3 2" xfId="2368"/>
    <cellStyle name="Финансовый 2 3 2 2 4 4" xfId="1290"/>
    <cellStyle name="Финансовый 2 3 2 2 4 4 2" xfId="2904"/>
    <cellStyle name="Финансовый 2 3 2 2 4 5" xfId="1826"/>
    <cellStyle name="Финансовый 2 3 2 2 5" xfId="347"/>
    <cellStyle name="Финансовый 2 3 2 2 5 2" xfId="890"/>
    <cellStyle name="Финансовый 2 3 2 2 5 2 2" xfId="2504"/>
    <cellStyle name="Финансовый 2 3 2 2 5 3" xfId="1426"/>
    <cellStyle name="Финансовый 2 3 2 2 5 3 2" xfId="3040"/>
    <cellStyle name="Финансовый 2 3 2 2 5 4" xfId="1962"/>
    <cellStyle name="Финансовый 2 3 2 2 6" xfId="620"/>
    <cellStyle name="Финансовый 2 3 2 2 6 2" xfId="2234"/>
    <cellStyle name="Финансовый 2 3 2 2 7" xfId="1158"/>
    <cellStyle name="Финансовый 2 3 2 2 7 2" xfId="2772"/>
    <cellStyle name="Финансовый 2 3 2 2 8" xfId="1694"/>
    <cellStyle name="Финансовый 2 3 2 3" xfId="142"/>
    <cellStyle name="Финансовый 2 3 2 3 2" xfId="281"/>
    <cellStyle name="Финансовый 2 3 2 3 2 2" xfId="549"/>
    <cellStyle name="Финансовый 2 3 2 3 2 2 2" xfId="1092"/>
    <cellStyle name="Финансовый 2 3 2 3 2 2 2 2" xfId="2706"/>
    <cellStyle name="Финансовый 2 3 2 3 2 2 3" xfId="1628"/>
    <cellStyle name="Финансовый 2 3 2 3 2 2 3 2" xfId="3242"/>
    <cellStyle name="Финансовый 2 3 2 3 2 2 4" xfId="2164"/>
    <cellStyle name="Финансовый 2 3 2 3 2 3" xfId="824"/>
    <cellStyle name="Финансовый 2 3 2 3 2 3 2" xfId="2438"/>
    <cellStyle name="Финансовый 2 3 2 3 2 4" xfId="1360"/>
    <cellStyle name="Финансовый 2 3 2 3 2 4 2" xfId="2974"/>
    <cellStyle name="Финансовый 2 3 2 3 2 5" xfId="1896"/>
    <cellStyle name="Финансовый 2 3 2 3 3" xfId="417"/>
    <cellStyle name="Финансовый 2 3 2 3 3 2" xfId="960"/>
    <cellStyle name="Финансовый 2 3 2 3 3 2 2" xfId="2574"/>
    <cellStyle name="Финансовый 2 3 2 3 3 3" xfId="1496"/>
    <cellStyle name="Финансовый 2 3 2 3 3 3 2" xfId="3110"/>
    <cellStyle name="Финансовый 2 3 2 3 3 4" xfId="2032"/>
    <cellStyle name="Финансовый 2 3 2 3 4" xfId="692"/>
    <cellStyle name="Финансовый 2 3 2 3 4 2" xfId="2306"/>
    <cellStyle name="Финансовый 2 3 2 3 5" xfId="1228"/>
    <cellStyle name="Финансовый 2 3 2 3 5 2" xfId="2842"/>
    <cellStyle name="Финансовый 2 3 2 3 6" xfId="1764"/>
    <cellStyle name="Финансовый 2 3 2 4" xfId="94"/>
    <cellStyle name="Финансовый 2 3 2 4 2" xfId="236"/>
    <cellStyle name="Финансовый 2 3 2 4 2 2" xfId="505"/>
    <cellStyle name="Финансовый 2 3 2 4 2 2 2" xfId="1048"/>
    <cellStyle name="Финансовый 2 3 2 4 2 2 2 2" xfId="2662"/>
    <cellStyle name="Финансовый 2 3 2 4 2 2 3" xfId="1584"/>
    <cellStyle name="Финансовый 2 3 2 4 2 2 3 2" xfId="3198"/>
    <cellStyle name="Финансовый 2 3 2 4 2 2 4" xfId="2120"/>
    <cellStyle name="Финансовый 2 3 2 4 2 3" xfId="780"/>
    <cellStyle name="Финансовый 2 3 2 4 2 3 2" xfId="2394"/>
    <cellStyle name="Финансовый 2 3 2 4 2 4" xfId="1316"/>
    <cellStyle name="Финансовый 2 3 2 4 2 4 2" xfId="2930"/>
    <cellStyle name="Финансовый 2 3 2 4 2 5" xfId="1852"/>
    <cellStyle name="Финансовый 2 3 2 4 3" xfId="373"/>
    <cellStyle name="Финансовый 2 3 2 4 3 2" xfId="916"/>
    <cellStyle name="Финансовый 2 3 2 4 3 2 2" xfId="2530"/>
    <cellStyle name="Финансовый 2 3 2 4 3 3" xfId="1452"/>
    <cellStyle name="Финансовый 2 3 2 4 3 3 2" xfId="3066"/>
    <cellStyle name="Финансовый 2 3 2 4 3 4" xfId="1988"/>
    <cellStyle name="Финансовый 2 3 2 4 4" xfId="647"/>
    <cellStyle name="Финансовый 2 3 2 4 4 2" xfId="2261"/>
    <cellStyle name="Финансовый 2 3 2 4 5" xfId="1184"/>
    <cellStyle name="Финансовый 2 3 2 4 5 2" xfId="2798"/>
    <cellStyle name="Финансовый 2 3 2 4 6" xfId="1720"/>
    <cellStyle name="Финансовый 2 3 2 5" xfId="191"/>
    <cellStyle name="Финансовый 2 3 2 5 2" xfId="461"/>
    <cellStyle name="Финансовый 2 3 2 5 2 2" xfId="1004"/>
    <cellStyle name="Финансовый 2 3 2 5 2 2 2" xfId="2618"/>
    <cellStyle name="Финансовый 2 3 2 5 2 3" xfId="1540"/>
    <cellStyle name="Финансовый 2 3 2 5 2 3 2" xfId="3154"/>
    <cellStyle name="Финансовый 2 3 2 5 2 4" xfId="2076"/>
    <cellStyle name="Финансовый 2 3 2 5 3" xfId="736"/>
    <cellStyle name="Финансовый 2 3 2 5 3 2" xfId="2350"/>
    <cellStyle name="Финансовый 2 3 2 5 4" xfId="1272"/>
    <cellStyle name="Финансовый 2 3 2 5 4 2" xfId="2886"/>
    <cellStyle name="Финансовый 2 3 2 5 5" xfId="1808"/>
    <cellStyle name="Финансовый 2 3 2 6" xfId="329"/>
    <cellStyle name="Финансовый 2 3 2 6 2" xfId="872"/>
    <cellStyle name="Финансовый 2 3 2 6 2 2" xfId="2486"/>
    <cellStyle name="Финансовый 2 3 2 6 3" xfId="1408"/>
    <cellStyle name="Финансовый 2 3 2 6 3 2" xfId="3022"/>
    <cellStyle name="Финансовый 2 3 2 6 4" xfId="1944"/>
    <cellStyle name="Финансовый 2 3 2 7" xfId="602"/>
    <cellStyle name="Финансовый 2 3 2 7 2" xfId="2216"/>
    <cellStyle name="Финансовый 2 3 2 8" xfId="1140"/>
    <cellStyle name="Финансовый 2 3 2 8 2" xfId="2754"/>
    <cellStyle name="Финансовый 2 3 2 9" xfId="1676"/>
    <cellStyle name="Финансовый 2 3 3" xfId="38"/>
    <cellStyle name="Финансовый 2 3 3 2" xfId="133"/>
    <cellStyle name="Финансовый 2 3 3 2 2" xfId="272"/>
    <cellStyle name="Финансовый 2 3 3 2 2 2" xfId="540"/>
    <cellStyle name="Финансовый 2 3 3 2 2 2 2" xfId="1083"/>
    <cellStyle name="Финансовый 2 3 3 2 2 2 2 2" xfId="2697"/>
    <cellStyle name="Финансовый 2 3 3 2 2 2 3" xfId="1619"/>
    <cellStyle name="Финансовый 2 3 3 2 2 2 3 2" xfId="3233"/>
    <cellStyle name="Финансовый 2 3 3 2 2 2 4" xfId="2155"/>
    <cellStyle name="Финансовый 2 3 3 2 2 3" xfId="815"/>
    <cellStyle name="Финансовый 2 3 3 2 2 3 2" xfId="2429"/>
    <cellStyle name="Финансовый 2 3 3 2 2 4" xfId="1351"/>
    <cellStyle name="Финансовый 2 3 3 2 2 4 2" xfId="2965"/>
    <cellStyle name="Финансовый 2 3 3 2 2 5" xfId="1887"/>
    <cellStyle name="Финансовый 2 3 3 2 3" xfId="408"/>
    <cellStyle name="Финансовый 2 3 3 2 3 2" xfId="951"/>
    <cellStyle name="Финансовый 2 3 3 2 3 2 2" xfId="2565"/>
    <cellStyle name="Финансовый 2 3 3 2 3 3" xfId="1487"/>
    <cellStyle name="Финансовый 2 3 3 2 3 3 2" xfId="3101"/>
    <cellStyle name="Финансовый 2 3 3 2 3 4" xfId="2023"/>
    <cellStyle name="Финансовый 2 3 3 2 4" xfId="683"/>
    <cellStyle name="Финансовый 2 3 3 2 4 2" xfId="2297"/>
    <cellStyle name="Финансовый 2 3 3 2 5" xfId="1219"/>
    <cellStyle name="Финансовый 2 3 3 2 5 2" xfId="2833"/>
    <cellStyle name="Финансовый 2 3 3 2 6" xfId="1755"/>
    <cellStyle name="Финансовый 2 3 3 3" xfId="85"/>
    <cellStyle name="Финансовый 2 3 3 3 2" xfId="227"/>
    <cellStyle name="Финансовый 2 3 3 3 2 2" xfId="496"/>
    <cellStyle name="Финансовый 2 3 3 3 2 2 2" xfId="1039"/>
    <cellStyle name="Финансовый 2 3 3 3 2 2 2 2" xfId="2653"/>
    <cellStyle name="Финансовый 2 3 3 3 2 2 3" xfId="1575"/>
    <cellStyle name="Финансовый 2 3 3 3 2 2 3 2" xfId="3189"/>
    <cellStyle name="Финансовый 2 3 3 3 2 2 4" xfId="2111"/>
    <cellStyle name="Финансовый 2 3 3 3 2 3" xfId="771"/>
    <cellStyle name="Финансовый 2 3 3 3 2 3 2" xfId="2385"/>
    <cellStyle name="Финансовый 2 3 3 3 2 4" xfId="1307"/>
    <cellStyle name="Финансовый 2 3 3 3 2 4 2" xfId="2921"/>
    <cellStyle name="Финансовый 2 3 3 3 2 5" xfId="1843"/>
    <cellStyle name="Финансовый 2 3 3 3 3" xfId="364"/>
    <cellStyle name="Финансовый 2 3 3 3 3 2" xfId="907"/>
    <cellStyle name="Финансовый 2 3 3 3 3 2 2" xfId="2521"/>
    <cellStyle name="Финансовый 2 3 3 3 3 3" xfId="1443"/>
    <cellStyle name="Финансовый 2 3 3 3 3 3 2" xfId="3057"/>
    <cellStyle name="Финансовый 2 3 3 3 3 4" xfId="1979"/>
    <cellStyle name="Финансовый 2 3 3 3 4" xfId="638"/>
    <cellStyle name="Финансовый 2 3 3 3 4 2" xfId="2252"/>
    <cellStyle name="Финансовый 2 3 3 3 5" xfId="1175"/>
    <cellStyle name="Финансовый 2 3 3 3 5 2" xfId="2789"/>
    <cellStyle name="Финансовый 2 3 3 3 6" xfId="1711"/>
    <cellStyle name="Финансовый 2 3 3 4" xfId="182"/>
    <cellStyle name="Финансовый 2 3 3 4 2" xfId="452"/>
    <cellStyle name="Финансовый 2 3 3 4 2 2" xfId="995"/>
    <cellStyle name="Финансовый 2 3 3 4 2 2 2" xfId="2609"/>
    <cellStyle name="Финансовый 2 3 3 4 2 3" xfId="1531"/>
    <cellStyle name="Финансовый 2 3 3 4 2 3 2" xfId="3145"/>
    <cellStyle name="Финансовый 2 3 3 4 2 4" xfId="2067"/>
    <cellStyle name="Финансовый 2 3 3 4 3" xfId="727"/>
    <cellStyle name="Финансовый 2 3 3 4 3 2" xfId="2341"/>
    <cellStyle name="Финансовый 2 3 3 4 4" xfId="1263"/>
    <cellStyle name="Финансовый 2 3 3 4 4 2" xfId="2877"/>
    <cellStyle name="Финансовый 2 3 3 4 5" xfId="1799"/>
    <cellStyle name="Финансовый 2 3 3 5" xfId="320"/>
    <cellStyle name="Финансовый 2 3 3 5 2" xfId="863"/>
    <cellStyle name="Финансовый 2 3 3 5 2 2" xfId="2477"/>
    <cellStyle name="Финансовый 2 3 3 5 3" xfId="1399"/>
    <cellStyle name="Финансовый 2 3 3 5 3 2" xfId="3013"/>
    <cellStyle name="Финансовый 2 3 3 5 4" xfId="1935"/>
    <cellStyle name="Финансовый 2 3 3 6" xfId="593"/>
    <cellStyle name="Финансовый 2 3 3 6 2" xfId="2207"/>
    <cellStyle name="Финансовый 2 3 3 7" xfId="1131"/>
    <cellStyle name="Финансовый 2 3 3 7 2" xfId="2745"/>
    <cellStyle name="Финансовый 2 3 3 8" xfId="1667"/>
    <cellStyle name="Финансовый 2 3 4" xfId="55"/>
    <cellStyle name="Финансовый 2 3 4 2" xfId="150"/>
    <cellStyle name="Финансовый 2 3 4 2 2" xfId="289"/>
    <cellStyle name="Финансовый 2 3 4 2 2 2" xfId="557"/>
    <cellStyle name="Финансовый 2 3 4 2 2 2 2" xfId="1100"/>
    <cellStyle name="Финансовый 2 3 4 2 2 2 2 2" xfId="2714"/>
    <cellStyle name="Финансовый 2 3 4 2 2 2 3" xfId="1636"/>
    <cellStyle name="Финансовый 2 3 4 2 2 2 3 2" xfId="3250"/>
    <cellStyle name="Финансовый 2 3 4 2 2 2 4" xfId="2172"/>
    <cellStyle name="Финансовый 2 3 4 2 2 3" xfId="832"/>
    <cellStyle name="Финансовый 2 3 4 2 2 3 2" xfId="2446"/>
    <cellStyle name="Финансовый 2 3 4 2 2 4" xfId="1368"/>
    <cellStyle name="Финансовый 2 3 4 2 2 4 2" xfId="2982"/>
    <cellStyle name="Финансовый 2 3 4 2 2 5" xfId="1904"/>
    <cellStyle name="Финансовый 2 3 4 2 3" xfId="425"/>
    <cellStyle name="Финансовый 2 3 4 2 3 2" xfId="968"/>
    <cellStyle name="Финансовый 2 3 4 2 3 2 2" xfId="2582"/>
    <cellStyle name="Финансовый 2 3 4 2 3 3" xfId="1504"/>
    <cellStyle name="Финансовый 2 3 4 2 3 3 2" xfId="3118"/>
    <cellStyle name="Финансовый 2 3 4 2 3 4" xfId="2040"/>
    <cellStyle name="Финансовый 2 3 4 2 4" xfId="700"/>
    <cellStyle name="Финансовый 2 3 4 2 4 2" xfId="2314"/>
    <cellStyle name="Финансовый 2 3 4 2 5" xfId="1236"/>
    <cellStyle name="Финансовый 2 3 4 2 5 2" xfId="2850"/>
    <cellStyle name="Финансовый 2 3 4 2 6" xfId="1772"/>
    <cellStyle name="Финансовый 2 3 4 3" xfId="102"/>
    <cellStyle name="Финансовый 2 3 4 3 2" xfId="244"/>
    <cellStyle name="Финансовый 2 3 4 3 2 2" xfId="513"/>
    <cellStyle name="Финансовый 2 3 4 3 2 2 2" xfId="1056"/>
    <cellStyle name="Финансовый 2 3 4 3 2 2 2 2" xfId="2670"/>
    <cellStyle name="Финансовый 2 3 4 3 2 2 3" xfId="1592"/>
    <cellStyle name="Финансовый 2 3 4 3 2 2 3 2" xfId="3206"/>
    <cellStyle name="Финансовый 2 3 4 3 2 2 4" xfId="2128"/>
    <cellStyle name="Финансовый 2 3 4 3 2 3" xfId="788"/>
    <cellStyle name="Финансовый 2 3 4 3 2 3 2" xfId="2402"/>
    <cellStyle name="Финансовый 2 3 4 3 2 4" xfId="1324"/>
    <cellStyle name="Финансовый 2 3 4 3 2 4 2" xfId="2938"/>
    <cellStyle name="Финансовый 2 3 4 3 2 5" xfId="1860"/>
    <cellStyle name="Финансовый 2 3 4 3 3" xfId="381"/>
    <cellStyle name="Финансовый 2 3 4 3 3 2" xfId="924"/>
    <cellStyle name="Финансовый 2 3 4 3 3 2 2" xfId="2538"/>
    <cellStyle name="Финансовый 2 3 4 3 3 3" xfId="1460"/>
    <cellStyle name="Финансовый 2 3 4 3 3 3 2" xfId="3074"/>
    <cellStyle name="Финансовый 2 3 4 3 3 4" xfId="1996"/>
    <cellStyle name="Финансовый 2 3 4 3 4" xfId="655"/>
    <cellStyle name="Финансовый 2 3 4 3 4 2" xfId="2269"/>
    <cellStyle name="Финансовый 2 3 4 3 5" xfId="1192"/>
    <cellStyle name="Финансовый 2 3 4 3 5 2" xfId="2806"/>
    <cellStyle name="Финансовый 2 3 4 3 6" xfId="1728"/>
    <cellStyle name="Финансовый 2 3 4 4" xfId="199"/>
    <cellStyle name="Финансовый 2 3 4 4 2" xfId="469"/>
    <cellStyle name="Финансовый 2 3 4 4 2 2" xfId="1012"/>
    <cellStyle name="Финансовый 2 3 4 4 2 2 2" xfId="2626"/>
    <cellStyle name="Финансовый 2 3 4 4 2 3" xfId="1548"/>
    <cellStyle name="Финансовый 2 3 4 4 2 3 2" xfId="3162"/>
    <cellStyle name="Финансовый 2 3 4 4 2 4" xfId="2084"/>
    <cellStyle name="Финансовый 2 3 4 4 3" xfId="744"/>
    <cellStyle name="Финансовый 2 3 4 4 3 2" xfId="2358"/>
    <cellStyle name="Финансовый 2 3 4 4 4" xfId="1280"/>
    <cellStyle name="Финансовый 2 3 4 4 4 2" xfId="2894"/>
    <cellStyle name="Финансовый 2 3 4 4 5" xfId="1816"/>
    <cellStyle name="Финансовый 2 3 4 5" xfId="337"/>
    <cellStyle name="Финансовый 2 3 4 5 2" xfId="880"/>
    <cellStyle name="Финансовый 2 3 4 5 2 2" xfId="2494"/>
    <cellStyle name="Финансовый 2 3 4 5 3" xfId="1416"/>
    <cellStyle name="Финансовый 2 3 4 5 3 2" xfId="3030"/>
    <cellStyle name="Финансовый 2 3 4 5 4" xfId="1952"/>
    <cellStyle name="Финансовый 2 3 4 6" xfId="610"/>
    <cellStyle name="Финансовый 2 3 4 6 2" xfId="2224"/>
    <cellStyle name="Финансовый 2 3 4 7" xfId="1148"/>
    <cellStyle name="Финансовый 2 3 4 7 2" xfId="2762"/>
    <cellStyle name="Финансовый 2 3 4 8" xfId="1684"/>
    <cellStyle name="Финансовый 2 3 5" xfId="122"/>
    <cellStyle name="Финансовый 2 3 5 2" xfId="263"/>
    <cellStyle name="Финансовый 2 3 5 2 2" xfId="532"/>
    <cellStyle name="Финансовый 2 3 5 2 2 2" xfId="1075"/>
    <cellStyle name="Финансовый 2 3 5 2 2 2 2" xfId="2689"/>
    <cellStyle name="Финансовый 2 3 5 2 2 3" xfId="1611"/>
    <cellStyle name="Финансовый 2 3 5 2 2 3 2" xfId="3225"/>
    <cellStyle name="Финансовый 2 3 5 2 2 4" xfId="2147"/>
    <cellStyle name="Финансовый 2 3 5 2 3" xfId="807"/>
    <cellStyle name="Финансовый 2 3 5 2 3 2" xfId="2421"/>
    <cellStyle name="Финансовый 2 3 5 2 4" xfId="1343"/>
    <cellStyle name="Финансовый 2 3 5 2 4 2" xfId="2957"/>
    <cellStyle name="Финансовый 2 3 5 2 5" xfId="1879"/>
    <cellStyle name="Финансовый 2 3 5 3" xfId="400"/>
    <cellStyle name="Финансовый 2 3 5 3 2" xfId="943"/>
    <cellStyle name="Финансовый 2 3 5 3 2 2" xfId="2557"/>
    <cellStyle name="Финансовый 2 3 5 3 3" xfId="1479"/>
    <cellStyle name="Финансовый 2 3 5 3 3 2" xfId="3093"/>
    <cellStyle name="Финансовый 2 3 5 3 4" xfId="2015"/>
    <cellStyle name="Финансовый 2 3 5 4" xfId="674"/>
    <cellStyle name="Финансовый 2 3 5 4 2" xfId="2288"/>
    <cellStyle name="Финансовый 2 3 5 5" xfId="1211"/>
    <cellStyle name="Финансовый 2 3 5 5 2" xfId="2825"/>
    <cellStyle name="Финансовый 2 3 5 6" xfId="1747"/>
    <cellStyle name="Финансовый 2 3 6" xfId="74"/>
    <cellStyle name="Финансовый 2 3 6 2" xfId="218"/>
    <cellStyle name="Финансовый 2 3 6 2 2" xfId="488"/>
    <cellStyle name="Финансовый 2 3 6 2 2 2" xfId="1031"/>
    <cellStyle name="Финансовый 2 3 6 2 2 2 2" xfId="2645"/>
    <cellStyle name="Финансовый 2 3 6 2 2 3" xfId="1567"/>
    <cellStyle name="Финансовый 2 3 6 2 2 3 2" xfId="3181"/>
    <cellStyle name="Финансовый 2 3 6 2 2 4" xfId="2103"/>
    <cellStyle name="Финансовый 2 3 6 2 3" xfId="763"/>
    <cellStyle name="Финансовый 2 3 6 2 3 2" xfId="2377"/>
    <cellStyle name="Финансовый 2 3 6 2 4" xfId="1299"/>
    <cellStyle name="Финансовый 2 3 6 2 4 2" xfId="2913"/>
    <cellStyle name="Финансовый 2 3 6 2 5" xfId="1835"/>
    <cellStyle name="Финансовый 2 3 6 3" xfId="356"/>
    <cellStyle name="Финансовый 2 3 6 3 2" xfId="899"/>
    <cellStyle name="Финансовый 2 3 6 3 2 2" xfId="2513"/>
    <cellStyle name="Финансовый 2 3 6 3 3" xfId="1435"/>
    <cellStyle name="Финансовый 2 3 6 3 3 2" xfId="3049"/>
    <cellStyle name="Финансовый 2 3 6 3 4" xfId="1971"/>
    <cellStyle name="Финансовый 2 3 6 4" xfId="629"/>
    <cellStyle name="Финансовый 2 3 6 4 2" xfId="2243"/>
    <cellStyle name="Финансовый 2 3 6 5" xfId="1167"/>
    <cellStyle name="Финансовый 2 3 6 5 2" xfId="2781"/>
    <cellStyle name="Финансовый 2 3 6 6" xfId="1703"/>
    <cellStyle name="Финансовый 2 3 7" xfId="172"/>
    <cellStyle name="Финансовый 2 3 7 2" xfId="444"/>
    <cellStyle name="Финансовый 2 3 7 2 2" xfId="987"/>
    <cellStyle name="Финансовый 2 3 7 2 2 2" xfId="2601"/>
    <cellStyle name="Финансовый 2 3 7 2 3" xfId="1523"/>
    <cellStyle name="Финансовый 2 3 7 2 3 2" xfId="3137"/>
    <cellStyle name="Финансовый 2 3 7 2 4" xfId="2059"/>
    <cellStyle name="Финансовый 2 3 7 3" xfId="719"/>
    <cellStyle name="Финансовый 2 3 7 3 2" xfId="2333"/>
    <cellStyle name="Финансовый 2 3 7 4" xfId="1255"/>
    <cellStyle name="Финансовый 2 3 7 4 2" xfId="2869"/>
    <cellStyle name="Финансовый 2 3 7 5" xfId="1791"/>
    <cellStyle name="Финансовый 2 3 8" xfId="303"/>
    <cellStyle name="Финансовый 2 3 8 2" xfId="571"/>
    <cellStyle name="Финансовый 2 3 8 2 2" xfId="1114"/>
    <cellStyle name="Финансовый 2 3 8 2 2 2" xfId="2728"/>
    <cellStyle name="Финансовый 2 3 8 2 3" xfId="1650"/>
    <cellStyle name="Финансовый 2 3 8 2 3 2" xfId="3264"/>
    <cellStyle name="Финансовый 2 3 8 2 4" xfId="2186"/>
    <cellStyle name="Финансовый 2 3 8 3" xfId="846"/>
    <cellStyle name="Финансовый 2 3 8 3 2" xfId="2460"/>
    <cellStyle name="Финансовый 2 3 8 4" xfId="1382"/>
    <cellStyle name="Финансовый 2 3 8 4 2" xfId="2996"/>
    <cellStyle name="Финансовый 2 3 8 5" xfId="1918"/>
    <cellStyle name="Финансовый 2 3 9" xfId="305"/>
    <cellStyle name="Финансовый 2 3 9 2" xfId="573"/>
    <cellStyle name="Финансовый 2 3 9 2 2" xfId="1116"/>
    <cellStyle name="Финансовый 2 3 9 2 2 2" xfId="2730"/>
    <cellStyle name="Финансовый 2 3 9 2 3" xfId="1652"/>
    <cellStyle name="Финансовый 2 3 9 2 3 2" xfId="3266"/>
    <cellStyle name="Финансовый 2 3 9 2 4" xfId="2188"/>
    <cellStyle name="Финансовый 2 3 9 3" xfId="848"/>
    <cellStyle name="Финансовый 2 3 9 3 2" xfId="2462"/>
    <cellStyle name="Финансовый 2 3 9 4" xfId="1384"/>
    <cellStyle name="Финансовый 2 3 9 4 2" xfId="2998"/>
    <cellStyle name="Финансовый 2 3 9 5" xfId="1920"/>
    <cellStyle name="Финансовый 2 4" xfId="42"/>
    <cellStyle name="Финансовый 2 4 2" xfId="60"/>
    <cellStyle name="Финансовый 2 4 2 2" xfId="155"/>
    <cellStyle name="Финансовый 2 4 2 2 2" xfId="294"/>
    <cellStyle name="Финансовый 2 4 2 2 2 2" xfId="562"/>
    <cellStyle name="Финансовый 2 4 2 2 2 2 2" xfId="1105"/>
    <cellStyle name="Финансовый 2 4 2 2 2 2 2 2" xfId="2719"/>
    <cellStyle name="Финансовый 2 4 2 2 2 2 3" xfId="1641"/>
    <cellStyle name="Финансовый 2 4 2 2 2 2 3 2" xfId="3255"/>
    <cellStyle name="Финансовый 2 4 2 2 2 2 4" xfId="2177"/>
    <cellStyle name="Финансовый 2 4 2 2 2 3" xfId="837"/>
    <cellStyle name="Финансовый 2 4 2 2 2 3 2" xfId="2451"/>
    <cellStyle name="Финансовый 2 4 2 2 2 4" xfId="1373"/>
    <cellStyle name="Финансовый 2 4 2 2 2 4 2" xfId="2987"/>
    <cellStyle name="Финансовый 2 4 2 2 2 5" xfId="1909"/>
    <cellStyle name="Финансовый 2 4 2 2 3" xfId="430"/>
    <cellStyle name="Финансовый 2 4 2 2 3 2" xfId="973"/>
    <cellStyle name="Финансовый 2 4 2 2 3 2 2" xfId="2587"/>
    <cellStyle name="Финансовый 2 4 2 2 3 3" xfId="1509"/>
    <cellStyle name="Финансовый 2 4 2 2 3 3 2" xfId="3123"/>
    <cellStyle name="Финансовый 2 4 2 2 3 4" xfId="2045"/>
    <cellStyle name="Финансовый 2 4 2 2 4" xfId="705"/>
    <cellStyle name="Финансовый 2 4 2 2 4 2" xfId="2319"/>
    <cellStyle name="Финансовый 2 4 2 2 5" xfId="1241"/>
    <cellStyle name="Финансовый 2 4 2 2 5 2" xfId="2855"/>
    <cellStyle name="Финансовый 2 4 2 2 6" xfId="1777"/>
    <cellStyle name="Финансовый 2 4 2 3" xfId="107"/>
    <cellStyle name="Финансовый 2 4 2 3 2" xfId="249"/>
    <cellStyle name="Финансовый 2 4 2 3 2 2" xfId="518"/>
    <cellStyle name="Финансовый 2 4 2 3 2 2 2" xfId="1061"/>
    <cellStyle name="Финансовый 2 4 2 3 2 2 2 2" xfId="2675"/>
    <cellStyle name="Финансовый 2 4 2 3 2 2 3" xfId="1597"/>
    <cellStyle name="Финансовый 2 4 2 3 2 2 3 2" xfId="3211"/>
    <cellStyle name="Финансовый 2 4 2 3 2 2 4" xfId="2133"/>
    <cellStyle name="Финансовый 2 4 2 3 2 3" xfId="793"/>
    <cellStyle name="Финансовый 2 4 2 3 2 3 2" xfId="2407"/>
    <cellStyle name="Финансовый 2 4 2 3 2 4" xfId="1329"/>
    <cellStyle name="Финансовый 2 4 2 3 2 4 2" xfId="2943"/>
    <cellStyle name="Финансовый 2 4 2 3 2 5" xfId="1865"/>
    <cellStyle name="Финансовый 2 4 2 3 3" xfId="386"/>
    <cellStyle name="Финансовый 2 4 2 3 3 2" xfId="929"/>
    <cellStyle name="Финансовый 2 4 2 3 3 2 2" xfId="2543"/>
    <cellStyle name="Финансовый 2 4 2 3 3 3" xfId="1465"/>
    <cellStyle name="Финансовый 2 4 2 3 3 3 2" xfId="3079"/>
    <cellStyle name="Финансовый 2 4 2 3 3 4" xfId="2001"/>
    <cellStyle name="Финансовый 2 4 2 3 4" xfId="660"/>
    <cellStyle name="Финансовый 2 4 2 3 4 2" xfId="2274"/>
    <cellStyle name="Финансовый 2 4 2 3 5" xfId="1197"/>
    <cellStyle name="Финансовый 2 4 2 3 5 2" xfId="2811"/>
    <cellStyle name="Финансовый 2 4 2 3 6" xfId="1733"/>
    <cellStyle name="Финансовый 2 4 2 4" xfId="204"/>
    <cellStyle name="Финансовый 2 4 2 4 2" xfId="474"/>
    <cellStyle name="Финансовый 2 4 2 4 2 2" xfId="1017"/>
    <cellStyle name="Финансовый 2 4 2 4 2 2 2" xfId="2631"/>
    <cellStyle name="Финансовый 2 4 2 4 2 3" xfId="1553"/>
    <cellStyle name="Финансовый 2 4 2 4 2 3 2" xfId="3167"/>
    <cellStyle name="Финансовый 2 4 2 4 2 4" xfId="2089"/>
    <cellStyle name="Финансовый 2 4 2 4 3" xfId="749"/>
    <cellStyle name="Финансовый 2 4 2 4 3 2" xfId="2363"/>
    <cellStyle name="Финансовый 2 4 2 4 4" xfId="1285"/>
    <cellStyle name="Финансовый 2 4 2 4 4 2" xfId="2899"/>
    <cellStyle name="Финансовый 2 4 2 4 5" xfId="1821"/>
    <cellStyle name="Финансовый 2 4 2 5" xfId="342"/>
    <cellStyle name="Финансовый 2 4 2 5 2" xfId="885"/>
    <cellStyle name="Финансовый 2 4 2 5 2 2" xfId="2499"/>
    <cellStyle name="Финансовый 2 4 2 5 3" xfId="1421"/>
    <cellStyle name="Финансовый 2 4 2 5 3 2" xfId="3035"/>
    <cellStyle name="Финансовый 2 4 2 5 4" xfId="1957"/>
    <cellStyle name="Финансовый 2 4 2 6" xfId="615"/>
    <cellStyle name="Финансовый 2 4 2 6 2" xfId="2229"/>
    <cellStyle name="Финансовый 2 4 2 7" xfId="1153"/>
    <cellStyle name="Финансовый 2 4 2 7 2" xfId="2767"/>
    <cellStyle name="Финансовый 2 4 2 8" xfId="1689"/>
    <cellStyle name="Финансовый 2 4 3" xfId="137"/>
    <cellStyle name="Финансовый 2 4 3 2" xfId="276"/>
    <cellStyle name="Финансовый 2 4 3 2 2" xfId="544"/>
    <cellStyle name="Финансовый 2 4 3 2 2 2" xfId="1087"/>
    <cellStyle name="Финансовый 2 4 3 2 2 2 2" xfId="2701"/>
    <cellStyle name="Финансовый 2 4 3 2 2 3" xfId="1623"/>
    <cellStyle name="Финансовый 2 4 3 2 2 3 2" xfId="3237"/>
    <cellStyle name="Финансовый 2 4 3 2 2 4" xfId="2159"/>
    <cellStyle name="Финансовый 2 4 3 2 3" xfId="819"/>
    <cellStyle name="Финансовый 2 4 3 2 3 2" xfId="2433"/>
    <cellStyle name="Финансовый 2 4 3 2 4" xfId="1355"/>
    <cellStyle name="Финансовый 2 4 3 2 4 2" xfId="2969"/>
    <cellStyle name="Финансовый 2 4 3 2 5" xfId="1891"/>
    <cellStyle name="Финансовый 2 4 3 3" xfId="412"/>
    <cellStyle name="Финансовый 2 4 3 3 2" xfId="955"/>
    <cellStyle name="Финансовый 2 4 3 3 2 2" xfId="2569"/>
    <cellStyle name="Финансовый 2 4 3 3 3" xfId="1491"/>
    <cellStyle name="Финансовый 2 4 3 3 3 2" xfId="3105"/>
    <cellStyle name="Финансовый 2 4 3 3 4" xfId="2027"/>
    <cellStyle name="Финансовый 2 4 3 4" xfId="687"/>
    <cellStyle name="Финансовый 2 4 3 4 2" xfId="2301"/>
    <cellStyle name="Финансовый 2 4 3 5" xfId="1223"/>
    <cellStyle name="Финансовый 2 4 3 5 2" xfId="2837"/>
    <cellStyle name="Финансовый 2 4 3 6" xfId="1759"/>
    <cellStyle name="Финансовый 2 4 4" xfId="89"/>
    <cellStyle name="Финансовый 2 4 4 2" xfId="231"/>
    <cellStyle name="Финансовый 2 4 4 2 2" xfId="500"/>
    <cellStyle name="Финансовый 2 4 4 2 2 2" xfId="1043"/>
    <cellStyle name="Финансовый 2 4 4 2 2 2 2" xfId="2657"/>
    <cellStyle name="Финансовый 2 4 4 2 2 3" xfId="1579"/>
    <cellStyle name="Финансовый 2 4 4 2 2 3 2" xfId="3193"/>
    <cellStyle name="Финансовый 2 4 4 2 2 4" xfId="2115"/>
    <cellStyle name="Финансовый 2 4 4 2 3" xfId="775"/>
    <cellStyle name="Финансовый 2 4 4 2 3 2" xfId="2389"/>
    <cellStyle name="Финансовый 2 4 4 2 4" xfId="1311"/>
    <cellStyle name="Финансовый 2 4 4 2 4 2" xfId="2925"/>
    <cellStyle name="Финансовый 2 4 4 2 5" xfId="1847"/>
    <cellStyle name="Финансовый 2 4 4 3" xfId="368"/>
    <cellStyle name="Финансовый 2 4 4 3 2" xfId="911"/>
    <cellStyle name="Финансовый 2 4 4 3 2 2" xfId="2525"/>
    <cellStyle name="Финансовый 2 4 4 3 3" xfId="1447"/>
    <cellStyle name="Финансовый 2 4 4 3 3 2" xfId="3061"/>
    <cellStyle name="Финансовый 2 4 4 3 4" xfId="1983"/>
    <cellStyle name="Финансовый 2 4 4 4" xfId="642"/>
    <cellStyle name="Финансовый 2 4 4 4 2" xfId="2256"/>
    <cellStyle name="Финансовый 2 4 4 5" xfId="1179"/>
    <cellStyle name="Финансовый 2 4 4 5 2" xfId="2793"/>
    <cellStyle name="Финансовый 2 4 4 6" xfId="1715"/>
    <cellStyle name="Финансовый 2 4 5" xfId="186"/>
    <cellStyle name="Финансовый 2 4 5 2" xfId="456"/>
    <cellStyle name="Финансовый 2 4 5 2 2" xfId="999"/>
    <cellStyle name="Финансовый 2 4 5 2 2 2" xfId="2613"/>
    <cellStyle name="Финансовый 2 4 5 2 3" xfId="1535"/>
    <cellStyle name="Финансовый 2 4 5 2 3 2" xfId="3149"/>
    <cellStyle name="Финансовый 2 4 5 2 4" xfId="2071"/>
    <cellStyle name="Финансовый 2 4 5 3" xfId="731"/>
    <cellStyle name="Финансовый 2 4 5 3 2" xfId="2345"/>
    <cellStyle name="Финансовый 2 4 5 4" xfId="1267"/>
    <cellStyle name="Финансовый 2 4 5 4 2" xfId="2881"/>
    <cellStyle name="Финансовый 2 4 5 5" xfId="1803"/>
    <cellStyle name="Финансовый 2 4 6" xfId="324"/>
    <cellStyle name="Финансовый 2 4 6 2" xfId="867"/>
    <cellStyle name="Финансовый 2 4 6 2 2" xfId="2481"/>
    <cellStyle name="Финансовый 2 4 6 3" xfId="1403"/>
    <cellStyle name="Финансовый 2 4 6 3 2" xfId="3017"/>
    <cellStyle name="Финансовый 2 4 6 4" xfId="1939"/>
    <cellStyle name="Финансовый 2 4 7" xfId="597"/>
    <cellStyle name="Финансовый 2 4 7 2" xfId="2211"/>
    <cellStyle name="Финансовый 2 4 8" xfId="1135"/>
    <cellStyle name="Финансовый 2 4 8 2" xfId="2749"/>
    <cellStyle name="Финансовый 2 4 9" xfId="1671"/>
    <cellStyle name="Финансовый 2 5" xfId="31"/>
    <cellStyle name="Финансовый 2 5 2" xfId="126"/>
    <cellStyle name="Финансовый 2 5 2 2" xfId="267"/>
    <cellStyle name="Финансовый 2 5 2 2 2" xfId="536"/>
    <cellStyle name="Финансовый 2 5 2 2 2 2" xfId="1079"/>
    <cellStyle name="Финансовый 2 5 2 2 2 2 2" xfId="2693"/>
    <cellStyle name="Финансовый 2 5 2 2 2 3" xfId="1615"/>
    <cellStyle name="Финансовый 2 5 2 2 2 3 2" xfId="3229"/>
    <cellStyle name="Финансовый 2 5 2 2 2 4" xfId="2151"/>
    <cellStyle name="Финансовый 2 5 2 2 3" xfId="811"/>
    <cellStyle name="Финансовый 2 5 2 2 3 2" xfId="2425"/>
    <cellStyle name="Финансовый 2 5 2 2 4" xfId="1347"/>
    <cellStyle name="Финансовый 2 5 2 2 4 2" xfId="2961"/>
    <cellStyle name="Финансовый 2 5 2 2 5" xfId="1883"/>
    <cellStyle name="Финансовый 2 5 2 3" xfId="404"/>
    <cellStyle name="Финансовый 2 5 2 3 2" xfId="947"/>
    <cellStyle name="Финансовый 2 5 2 3 2 2" xfId="2561"/>
    <cellStyle name="Финансовый 2 5 2 3 3" xfId="1483"/>
    <cellStyle name="Финансовый 2 5 2 3 3 2" xfId="3097"/>
    <cellStyle name="Финансовый 2 5 2 3 4" xfId="2019"/>
    <cellStyle name="Финансовый 2 5 2 4" xfId="678"/>
    <cellStyle name="Финансовый 2 5 2 4 2" xfId="2292"/>
    <cellStyle name="Финансовый 2 5 2 5" xfId="1215"/>
    <cellStyle name="Финансовый 2 5 2 5 2" xfId="2829"/>
    <cellStyle name="Финансовый 2 5 2 6" xfId="1751"/>
    <cellStyle name="Финансовый 2 5 3" xfId="78"/>
    <cellStyle name="Финансовый 2 5 3 2" xfId="222"/>
    <cellStyle name="Финансовый 2 5 3 2 2" xfId="492"/>
    <cellStyle name="Финансовый 2 5 3 2 2 2" xfId="1035"/>
    <cellStyle name="Финансовый 2 5 3 2 2 2 2" xfId="2649"/>
    <cellStyle name="Финансовый 2 5 3 2 2 3" xfId="1571"/>
    <cellStyle name="Финансовый 2 5 3 2 2 3 2" xfId="3185"/>
    <cellStyle name="Финансовый 2 5 3 2 2 4" xfId="2107"/>
    <cellStyle name="Финансовый 2 5 3 2 3" xfId="767"/>
    <cellStyle name="Финансовый 2 5 3 2 3 2" xfId="2381"/>
    <cellStyle name="Финансовый 2 5 3 2 4" xfId="1303"/>
    <cellStyle name="Финансовый 2 5 3 2 4 2" xfId="2917"/>
    <cellStyle name="Финансовый 2 5 3 2 5" xfId="1839"/>
    <cellStyle name="Финансовый 2 5 3 3" xfId="360"/>
    <cellStyle name="Финансовый 2 5 3 3 2" xfId="903"/>
    <cellStyle name="Финансовый 2 5 3 3 2 2" xfId="2517"/>
    <cellStyle name="Финансовый 2 5 3 3 3" xfId="1439"/>
    <cellStyle name="Финансовый 2 5 3 3 3 2" xfId="3053"/>
    <cellStyle name="Финансовый 2 5 3 3 4" xfId="1975"/>
    <cellStyle name="Финансовый 2 5 3 4" xfId="633"/>
    <cellStyle name="Финансовый 2 5 3 4 2" xfId="2247"/>
    <cellStyle name="Финансовый 2 5 3 5" xfId="1171"/>
    <cellStyle name="Финансовый 2 5 3 5 2" xfId="2785"/>
    <cellStyle name="Финансовый 2 5 3 6" xfId="1707"/>
    <cellStyle name="Финансовый 2 5 4" xfId="177"/>
    <cellStyle name="Финансовый 2 5 4 2" xfId="448"/>
    <cellStyle name="Финансовый 2 5 4 2 2" xfId="991"/>
    <cellStyle name="Финансовый 2 5 4 2 2 2" xfId="2605"/>
    <cellStyle name="Финансовый 2 5 4 2 3" xfId="1527"/>
    <cellStyle name="Финансовый 2 5 4 2 3 2" xfId="3141"/>
    <cellStyle name="Финансовый 2 5 4 2 4" xfId="2063"/>
    <cellStyle name="Финансовый 2 5 4 3" xfId="723"/>
    <cellStyle name="Финансовый 2 5 4 3 2" xfId="2337"/>
    <cellStyle name="Финансовый 2 5 4 4" xfId="1259"/>
    <cellStyle name="Финансовый 2 5 4 4 2" xfId="2873"/>
    <cellStyle name="Финансовый 2 5 4 5" xfId="1795"/>
    <cellStyle name="Финансовый 2 5 5" xfId="316"/>
    <cellStyle name="Финансовый 2 5 5 2" xfId="859"/>
    <cellStyle name="Финансовый 2 5 5 2 2" xfId="2473"/>
    <cellStyle name="Финансовый 2 5 5 3" xfId="1395"/>
    <cellStyle name="Финансовый 2 5 5 3 2" xfId="3009"/>
    <cellStyle name="Финансовый 2 5 5 4" xfId="1931"/>
    <cellStyle name="Финансовый 2 5 6" xfId="588"/>
    <cellStyle name="Финансовый 2 5 6 2" xfId="2202"/>
    <cellStyle name="Финансовый 2 5 7" xfId="1127"/>
    <cellStyle name="Финансовый 2 5 7 2" xfId="2741"/>
    <cellStyle name="Финансовый 2 5 8" xfId="1663"/>
    <cellStyle name="Финансовый 2 6" xfId="51"/>
    <cellStyle name="Финансовый 2 6 2" xfId="146"/>
    <cellStyle name="Финансовый 2 6 2 2" xfId="285"/>
    <cellStyle name="Финансовый 2 6 2 2 2" xfId="553"/>
    <cellStyle name="Финансовый 2 6 2 2 2 2" xfId="1096"/>
    <cellStyle name="Финансовый 2 6 2 2 2 2 2" xfId="2710"/>
    <cellStyle name="Финансовый 2 6 2 2 2 3" xfId="1632"/>
    <cellStyle name="Финансовый 2 6 2 2 2 3 2" xfId="3246"/>
    <cellStyle name="Финансовый 2 6 2 2 2 4" xfId="2168"/>
    <cellStyle name="Финансовый 2 6 2 2 3" xfId="828"/>
    <cellStyle name="Финансовый 2 6 2 2 3 2" xfId="2442"/>
    <cellStyle name="Финансовый 2 6 2 2 4" xfId="1364"/>
    <cellStyle name="Финансовый 2 6 2 2 4 2" xfId="2978"/>
    <cellStyle name="Финансовый 2 6 2 2 5" xfId="1900"/>
    <cellStyle name="Финансовый 2 6 2 3" xfId="421"/>
    <cellStyle name="Финансовый 2 6 2 3 2" xfId="964"/>
    <cellStyle name="Финансовый 2 6 2 3 2 2" xfId="2578"/>
    <cellStyle name="Финансовый 2 6 2 3 3" xfId="1500"/>
    <cellStyle name="Финансовый 2 6 2 3 3 2" xfId="3114"/>
    <cellStyle name="Финансовый 2 6 2 3 4" xfId="2036"/>
    <cellStyle name="Финансовый 2 6 2 4" xfId="696"/>
    <cellStyle name="Финансовый 2 6 2 4 2" xfId="2310"/>
    <cellStyle name="Финансовый 2 6 2 5" xfId="1232"/>
    <cellStyle name="Финансовый 2 6 2 5 2" xfId="2846"/>
    <cellStyle name="Финансовый 2 6 2 6" xfId="1768"/>
    <cellStyle name="Финансовый 2 6 3" xfId="98"/>
    <cellStyle name="Финансовый 2 6 3 2" xfId="240"/>
    <cellStyle name="Финансовый 2 6 3 2 2" xfId="509"/>
    <cellStyle name="Финансовый 2 6 3 2 2 2" xfId="1052"/>
    <cellStyle name="Финансовый 2 6 3 2 2 2 2" xfId="2666"/>
    <cellStyle name="Финансовый 2 6 3 2 2 3" xfId="1588"/>
    <cellStyle name="Финансовый 2 6 3 2 2 3 2" xfId="3202"/>
    <cellStyle name="Финансовый 2 6 3 2 2 4" xfId="2124"/>
    <cellStyle name="Финансовый 2 6 3 2 3" xfId="784"/>
    <cellStyle name="Финансовый 2 6 3 2 3 2" xfId="2398"/>
    <cellStyle name="Финансовый 2 6 3 2 4" xfId="1320"/>
    <cellStyle name="Финансовый 2 6 3 2 4 2" xfId="2934"/>
    <cellStyle name="Финансовый 2 6 3 2 5" xfId="1856"/>
    <cellStyle name="Финансовый 2 6 3 3" xfId="377"/>
    <cellStyle name="Финансовый 2 6 3 3 2" xfId="920"/>
    <cellStyle name="Финансовый 2 6 3 3 2 2" xfId="2534"/>
    <cellStyle name="Финансовый 2 6 3 3 3" xfId="1456"/>
    <cellStyle name="Финансовый 2 6 3 3 3 2" xfId="3070"/>
    <cellStyle name="Финансовый 2 6 3 3 4" xfId="1992"/>
    <cellStyle name="Финансовый 2 6 3 4" xfId="651"/>
    <cellStyle name="Финансовый 2 6 3 4 2" xfId="2265"/>
    <cellStyle name="Финансовый 2 6 3 5" xfId="1188"/>
    <cellStyle name="Финансовый 2 6 3 5 2" xfId="2802"/>
    <cellStyle name="Финансовый 2 6 3 6" xfId="1724"/>
    <cellStyle name="Финансовый 2 6 4" xfId="195"/>
    <cellStyle name="Финансовый 2 6 4 2" xfId="465"/>
    <cellStyle name="Финансовый 2 6 4 2 2" xfId="1008"/>
    <cellStyle name="Финансовый 2 6 4 2 2 2" xfId="2622"/>
    <cellStyle name="Финансовый 2 6 4 2 3" xfId="1544"/>
    <cellStyle name="Финансовый 2 6 4 2 3 2" xfId="3158"/>
    <cellStyle name="Финансовый 2 6 4 2 4" xfId="2080"/>
    <cellStyle name="Финансовый 2 6 4 3" xfId="740"/>
    <cellStyle name="Финансовый 2 6 4 3 2" xfId="2354"/>
    <cellStyle name="Финансовый 2 6 4 4" xfId="1276"/>
    <cellStyle name="Финансовый 2 6 4 4 2" xfId="2890"/>
    <cellStyle name="Финансовый 2 6 4 5" xfId="1812"/>
    <cellStyle name="Финансовый 2 6 5" xfId="333"/>
    <cellStyle name="Финансовый 2 6 5 2" xfId="876"/>
    <cellStyle name="Финансовый 2 6 5 2 2" xfId="2490"/>
    <cellStyle name="Финансовый 2 6 5 3" xfId="1412"/>
    <cellStyle name="Финансовый 2 6 5 3 2" xfId="3026"/>
    <cellStyle name="Финансовый 2 6 5 4" xfId="1948"/>
    <cellStyle name="Финансовый 2 6 6" xfId="606"/>
    <cellStyle name="Финансовый 2 6 6 2" xfId="2220"/>
    <cellStyle name="Финансовый 2 6 7" xfId="1144"/>
    <cellStyle name="Финансовый 2 6 7 2" xfId="2758"/>
    <cellStyle name="Финансовый 2 6 8" xfId="1680"/>
    <cellStyle name="Финансовый 2 7" xfId="117"/>
    <cellStyle name="Финансовый 2 7 2" xfId="258"/>
    <cellStyle name="Финансовый 2 7 2 2" xfId="527"/>
    <cellStyle name="Финансовый 2 7 2 2 2" xfId="1070"/>
    <cellStyle name="Финансовый 2 7 2 2 2 2" xfId="2684"/>
    <cellStyle name="Финансовый 2 7 2 2 3" xfId="1606"/>
    <cellStyle name="Финансовый 2 7 2 2 3 2" xfId="3220"/>
    <cellStyle name="Финансовый 2 7 2 2 4" xfId="2142"/>
    <cellStyle name="Финансовый 2 7 2 3" xfId="802"/>
    <cellStyle name="Финансовый 2 7 2 3 2" xfId="2416"/>
    <cellStyle name="Финансовый 2 7 2 4" xfId="1338"/>
    <cellStyle name="Финансовый 2 7 2 4 2" xfId="2952"/>
    <cellStyle name="Финансовый 2 7 2 5" xfId="1874"/>
    <cellStyle name="Финансовый 2 7 3" xfId="395"/>
    <cellStyle name="Финансовый 2 7 3 2" xfId="938"/>
    <cellStyle name="Финансовый 2 7 3 2 2" xfId="2552"/>
    <cellStyle name="Финансовый 2 7 3 3" xfId="1474"/>
    <cellStyle name="Финансовый 2 7 3 3 2" xfId="3088"/>
    <cellStyle name="Финансовый 2 7 3 4" xfId="2010"/>
    <cellStyle name="Финансовый 2 7 4" xfId="669"/>
    <cellStyle name="Финансовый 2 7 4 2" xfId="2283"/>
    <cellStyle name="Финансовый 2 7 5" xfId="1206"/>
    <cellStyle name="Финансовый 2 7 5 2" xfId="2820"/>
    <cellStyle name="Финансовый 2 7 6" xfId="1742"/>
    <cellStyle name="Финансовый 2 8" xfId="69"/>
    <cellStyle name="Финансовый 2 8 2" xfId="213"/>
    <cellStyle name="Финансовый 2 8 2 2" xfId="483"/>
    <cellStyle name="Финансовый 2 8 2 2 2" xfId="1026"/>
    <cellStyle name="Финансовый 2 8 2 2 2 2" xfId="2640"/>
    <cellStyle name="Финансовый 2 8 2 2 3" xfId="1562"/>
    <cellStyle name="Финансовый 2 8 2 2 3 2" xfId="3176"/>
    <cellStyle name="Финансовый 2 8 2 2 4" xfId="2098"/>
    <cellStyle name="Финансовый 2 8 2 3" xfId="758"/>
    <cellStyle name="Финансовый 2 8 2 3 2" xfId="2372"/>
    <cellStyle name="Финансовый 2 8 2 4" xfId="1294"/>
    <cellStyle name="Финансовый 2 8 2 4 2" xfId="2908"/>
    <cellStyle name="Финансовый 2 8 2 5" xfId="1830"/>
    <cellStyle name="Финансовый 2 8 3" xfId="351"/>
    <cellStyle name="Финансовый 2 8 3 2" xfId="894"/>
    <cellStyle name="Финансовый 2 8 3 2 2" xfId="2508"/>
    <cellStyle name="Финансовый 2 8 3 3" xfId="1430"/>
    <cellStyle name="Финансовый 2 8 3 3 2" xfId="3044"/>
    <cellStyle name="Финансовый 2 8 3 4" xfId="1966"/>
    <cellStyle name="Финансовый 2 8 4" xfId="624"/>
    <cellStyle name="Финансовый 2 8 4 2" xfId="2238"/>
    <cellStyle name="Финансовый 2 8 5" xfId="1162"/>
    <cellStyle name="Финансовый 2 8 5 2" xfId="2776"/>
    <cellStyle name="Финансовый 2 8 6" xfId="1698"/>
    <cellStyle name="Финансовый 2 9" xfId="165"/>
    <cellStyle name="Финансовый 2 9 2" xfId="439"/>
    <cellStyle name="Финансовый 2 9 2 2" xfId="982"/>
    <cellStyle name="Финансовый 2 9 2 2 2" xfId="2596"/>
    <cellStyle name="Финансовый 2 9 2 3" xfId="1518"/>
    <cellStyle name="Финансовый 2 9 2 3 2" xfId="3132"/>
    <cellStyle name="Финансовый 2 9 2 4" xfId="2054"/>
    <cellStyle name="Финансовый 2 9 3" xfId="714"/>
    <cellStyle name="Финансовый 2 9 3 2" xfId="2328"/>
    <cellStyle name="Финансовый 2 9 4" xfId="1250"/>
    <cellStyle name="Финансовый 2 9 4 2" xfId="2864"/>
    <cellStyle name="Финансовый 2 9 5" xfId="1786"/>
    <cellStyle name="Финансовый 3" xfId="21"/>
    <cellStyle name="Финансовый 3 2" xfId="29"/>
    <cellStyle name="Финансовый 3 2 2" xfId="175"/>
    <cellStyle name="Финансовый 3 2 3" xfId="586"/>
    <cellStyle name="Финансовый 3 2 3 2" xfId="2200"/>
    <cellStyle name="Финансовый 3 2 3 2 2" xfId="3283"/>
    <cellStyle name="Финансовый 3 2 3 3" xfId="3277"/>
    <cellStyle name="Финансовый 3 2 4" xfId="3271"/>
    <cellStyle name="Финансовый 3 3" xfId="36"/>
    <cellStyle name="Финансовый 3 3 2" xfId="131"/>
    <cellStyle name="Финансовый 3 3 2 2" xfId="270"/>
    <cellStyle name="Финансовый 3 3 2 3" xfId="681"/>
    <cellStyle name="Финансовый 3 3 2 3 2" xfId="2295"/>
    <cellStyle name="Финансовый 3 3 2 3 2 2" xfId="3286"/>
    <cellStyle name="Финансовый 3 3 2 3 3" xfId="3280"/>
    <cellStyle name="Финансовый 3 3 2 4" xfId="3274"/>
    <cellStyle name="Финансовый 3 3 3" xfId="83"/>
    <cellStyle name="Финансовый 3 3 3 2" xfId="225"/>
    <cellStyle name="Финансовый 3 3 3 3" xfId="636"/>
    <cellStyle name="Финансовый 3 3 3 3 2" xfId="2250"/>
    <cellStyle name="Финансовый 3 3 3 3 2 2" xfId="3285"/>
    <cellStyle name="Финансовый 3 3 3 3 3" xfId="3279"/>
    <cellStyle name="Финансовый 3 3 3 4" xfId="3273"/>
    <cellStyle name="Финансовый 3 3 4" xfId="180"/>
    <cellStyle name="Финансовый 3 3 5" xfId="591"/>
    <cellStyle name="Финансовый 3 3 5 2" xfId="2205"/>
    <cellStyle name="Финансовый 3 3 5 2 2" xfId="3284"/>
    <cellStyle name="Финансовый 3 3 5 3" xfId="3278"/>
    <cellStyle name="Финансовый 3 3 6" xfId="3272"/>
    <cellStyle name="Финансовый 3 4" xfId="169"/>
    <cellStyle name="Финансовый 3 5" xfId="580"/>
    <cellStyle name="Финансовый 3 5 2" xfId="2194"/>
    <cellStyle name="Финансовый 3 5 2 2" xfId="3282"/>
    <cellStyle name="Финансовый 3 5 3" xfId="3276"/>
    <cellStyle name="Финансовый 3 6" xfId="3270"/>
    <cellStyle name="Финансовый 4" xfId="19"/>
    <cellStyle name="Финансовый 4 10" xfId="578"/>
    <cellStyle name="Финансовый 4 10 2" xfId="2192"/>
    <cellStyle name="Финансовый 4 11" xfId="1120"/>
    <cellStyle name="Финансовый 4 11 2" xfId="2734"/>
    <cellStyle name="Финансовый 4 12" xfId="1656"/>
    <cellStyle name="Финансовый 4 2" xfId="28"/>
    <cellStyle name="Финансовый 4 2 10" xfId="1125"/>
    <cellStyle name="Финансовый 4 2 10 2" xfId="2739"/>
    <cellStyle name="Финансовый 4 2 11" xfId="1661"/>
    <cellStyle name="Финансовый 4 2 2" xfId="49"/>
    <cellStyle name="Финансовый 4 2 2 2" xfId="67"/>
    <cellStyle name="Финансовый 4 2 2 2 2" xfId="162"/>
    <cellStyle name="Финансовый 4 2 2 2 2 2" xfId="301"/>
    <cellStyle name="Финансовый 4 2 2 2 2 2 2" xfId="569"/>
    <cellStyle name="Финансовый 4 2 2 2 2 2 2 2" xfId="1112"/>
    <cellStyle name="Финансовый 4 2 2 2 2 2 2 2 2" xfId="2726"/>
    <cellStyle name="Финансовый 4 2 2 2 2 2 2 3" xfId="1648"/>
    <cellStyle name="Финансовый 4 2 2 2 2 2 2 3 2" xfId="3262"/>
    <cellStyle name="Финансовый 4 2 2 2 2 2 2 4" xfId="2184"/>
    <cellStyle name="Финансовый 4 2 2 2 2 2 3" xfId="844"/>
    <cellStyle name="Финансовый 4 2 2 2 2 2 3 2" xfId="2458"/>
    <cellStyle name="Финансовый 4 2 2 2 2 2 4" xfId="1380"/>
    <cellStyle name="Финансовый 4 2 2 2 2 2 4 2" xfId="2994"/>
    <cellStyle name="Финансовый 4 2 2 2 2 2 5" xfId="1916"/>
    <cellStyle name="Финансовый 4 2 2 2 2 3" xfId="437"/>
    <cellStyle name="Финансовый 4 2 2 2 2 3 2" xfId="980"/>
    <cellStyle name="Финансовый 4 2 2 2 2 3 2 2" xfId="2594"/>
    <cellStyle name="Финансовый 4 2 2 2 2 3 3" xfId="1516"/>
    <cellStyle name="Финансовый 4 2 2 2 2 3 3 2" xfId="3130"/>
    <cellStyle name="Финансовый 4 2 2 2 2 3 4" xfId="2052"/>
    <cellStyle name="Финансовый 4 2 2 2 2 4" xfId="712"/>
    <cellStyle name="Финансовый 4 2 2 2 2 4 2" xfId="2326"/>
    <cellStyle name="Финансовый 4 2 2 2 2 5" xfId="1248"/>
    <cellStyle name="Финансовый 4 2 2 2 2 5 2" xfId="2862"/>
    <cellStyle name="Финансовый 4 2 2 2 2 6" xfId="1784"/>
    <cellStyle name="Финансовый 4 2 2 2 3" xfId="114"/>
    <cellStyle name="Финансовый 4 2 2 2 3 2" xfId="256"/>
    <cellStyle name="Финансовый 4 2 2 2 3 2 2" xfId="525"/>
    <cellStyle name="Финансовый 4 2 2 2 3 2 2 2" xfId="1068"/>
    <cellStyle name="Финансовый 4 2 2 2 3 2 2 2 2" xfId="2682"/>
    <cellStyle name="Финансовый 4 2 2 2 3 2 2 3" xfId="1604"/>
    <cellStyle name="Финансовый 4 2 2 2 3 2 2 3 2" xfId="3218"/>
    <cellStyle name="Финансовый 4 2 2 2 3 2 2 4" xfId="2140"/>
    <cellStyle name="Финансовый 4 2 2 2 3 2 3" xfId="800"/>
    <cellStyle name="Финансовый 4 2 2 2 3 2 3 2" xfId="2414"/>
    <cellStyle name="Финансовый 4 2 2 2 3 2 4" xfId="1336"/>
    <cellStyle name="Финансовый 4 2 2 2 3 2 4 2" xfId="2950"/>
    <cellStyle name="Финансовый 4 2 2 2 3 2 5" xfId="1872"/>
    <cellStyle name="Финансовый 4 2 2 2 3 3" xfId="393"/>
    <cellStyle name="Финансовый 4 2 2 2 3 3 2" xfId="936"/>
    <cellStyle name="Финансовый 4 2 2 2 3 3 2 2" xfId="2550"/>
    <cellStyle name="Финансовый 4 2 2 2 3 3 3" xfId="1472"/>
    <cellStyle name="Финансовый 4 2 2 2 3 3 3 2" xfId="3086"/>
    <cellStyle name="Финансовый 4 2 2 2 3 3 4" xfId="2008"/>
    <cellStyle name="Финансовый 4 2 2 2 3 4" xfId="667"/>
    <cellStyle name="Финансовый 4 2 2 2 3 4 2" xfId="2281"/>
    <cellStyle name="Финансовый 4 2 2 2 3 5" xfId="1204"/>
    <cellStyle name="Финансовый 4 2 2 2 3 5 2" xfId="2818"/>
    <cellStyle name="Финансовый 4 2 2 2 3 6" xfId="1740"/>
    <cellStyle name="Финансовый 4 2 2 2 4" xfId="211"/>
    <cellStyle name="Финансовый 4 2 2 2 4 2" xfId="481"/>
    <cellStyle name="Финансовый 4 2 2 2 4 2 2" xfId="1024"/>
    <cellStyle name="Финансовый 4 2 2 2 4 2 2 2" xfId="2638"/>
    <cellStyle name="Финансовый 4 2 2 2 4 2 3" xfId="1560"/>
    <cellStyle name="Финансовый 4 2 2 2 4 2 3 2" xfId="3174"/>
    <cellStyle name="Финансовый 4 2 2 2 4 2 4" xfId="2096"/>
    <cellStyle name="Финансовый 4 2 2 2 4 3" xfId="756"/>
    <cellStyle name="Финансовый 4 2 2 2 4 3 2" xfId="2370"/>
    <cellStyle name="Финансовый 4 2 2 2 4 4" xfId="1292"/>
    <cellStyle name="Финансовый 4 2 2 2 4 4 2" xfId="2906"/>
    <cellStyle name="Финансовый 4 2 2 2 4 5" xfId="1828"/>
    <cellStyle name="Финансовый 4 2 2 2 5" xfId="349"/>
    <cellStyle name="Финансовый 4 2 2 2 5 2" xfId="892"/>
    <cellStyle name="Финансовый 4 2 2 2 5 2 2" xfId="2506"/>
    <cellStyle name="Финансовый 4 2 2 2 5 3" xfId="1428"/>
    <cellStyle name="Финансовый 4 2 2 2 5 3 2" xfId="3042"/>
    <cellStyle name="Финансовый 4 2 2 2 5 4" xfId="1964"/>
    <cellStyle name="Финансовый 4 2 2 2 6" xfId="622"/>
    <cellStyle name="Финансовый 4 2 2 2 6 2" xfId="2236"/>
    <cellStyle name="Финансовый 4 2 2 2 7" xfId="1160"/>
    <cellStyle name="Финансовый 4 2 2 2 7 2" xfId="2774"/>
    <cellStyle name="Финансовый 4 2 2 2 8" xfId="1696"/>
    <cellStyle name="Финансовый 4 2 2 3" xfId="144"/>
    <cellStyle name="Финансовый 4 2 2 3 2" xfId="283"/>
    <cellStyle name="Финансовый 4 2 2 3 2 2" xfId="551"/>
    <cellStyle name="Финансовый 4 2 2 3 2 2 2" xfId="1094"/>
    <cellStyle name="Финансовый 4 2 2 3 2 2 2 2" xfId="2708"/>
    <cellStyle name="Финансовый 4 2 2 3 2 2 3" xfId="1630"/>
    <cellStyle name="Финансовый 4 2 2 3 2 2 3 2" xfId="3244"/>
    <cellStyle name="Финансовый 4 2 2 3 2 2 4" xfId="2166"/>
    <cellStyle name="Финансовый 4 2 2 3 2 3" xfId="826"/>
    <cellStyle name="Финансовый 4 2 2 3 2 3 2" xfId="2440"/>
    <cellStyle name="Финансовый 4 2 2 3 2 4" xfId="1362"/>
    <cellStyle name="Финансовый 4 2 2 3 2 4 2" xfId="2976"/>
    <cellStyle name="Финансовый 4 2 2 3 2 5" xfId="1898"/>
    <cellStyle name="Финансовый 4 2 2 3 3" xfId="419"/>
    <cellStyle name="Финансовый 4 2 2 3 3 2" xfId="962"/>
    <cellStyle name="Финансовый 4 2 2 3 3 2 2" xfId="2576"/>
    <cellStyle name="Финансовый 4 2 2 3 3 3" xfId="1498"/>
    <cellStyle name="Финансовый 4 2 2 3 3 3 2" xfId="3112"/>
    <cellStyle name="Финансовый 4 2 2 3 3 4" xfId="2034"/>
    <cellStyle name="Финансовый 4 2 2 3 4" xfId="694"/>
    <cellStyle name="Финансовый 4 2 2 3 4 2" xfId="2308"/>
    <cellStyle name="Финансовый 4 2 2 3 5" xfId="1230"/>
    <cellStyle name="Финансовый 4 2 2 3 5 2" xfId="2844"/>
    <cellStyle name="Финансовый 4 2 2 3 6" xfId="1766"/>
    <cellStyle name="Финансовый 4 2 2 4" xfId="96"/>
    <cellStyle name="Финансовый 4 2 2 4 2" xfId="238"/>
    <cellStyle name="Финансовый 4 2 2 4 2 2" xfId="507"/>
    <cellStyle name="Финансовый 4 2 2 4 2 2 2" xfId="1050"/>
    <cellStyle name="Финансовый 4 2 2 4 2 2 2 2" xfId="2664"/>
    <cellStyle name="Финансовый 4 2 2 4 2 2 3" xfId="1586"/>
    <cellStyle name="Финансовый 4 2 2 4 2 2 3 2" xfId="3200"/>
    <cellStyle name="Финансовый 4 2 2 4 2 2 4" xfId="2122"/>
    <cellStyle name="Финансовый 4 2 2 4 2 3" xfId="782"/>
    <cellStyle name="Финансовый 4 2 2 4 2 3 2" xfId="2396"/>
    <cellStyle name="Финансовый 4 2 2 4 2 4" xfId="1318"/>
    <cellStyle name="Финансовый 4 2 2 4 2 4 2" xfId="2932"/>
    <cellStyle name="Финансовый 4 2 2 4 2 5" xfId="1854"/>
    <cellStyle name="Финансовый 4 2 2 4 3" xfId="375"/>
    <cellStyle name="Финансовый 4 2 2 4 3 2" xfId="918"/>
    <cellStyle name="Финансовый 4 2 2 4 3 2 2" xfId="2532"/>
    <cellStyle name="Финансовый 4 2 2 4 3 3" xfId="1454"/>
    <cellStyle name="Финансовый 4 2 2 4 3 3 2" xfId="3068"/>
    <cellStyle name="Финансовый 4 2 2 4 3 4" xfId="1990"/>
    <cellStyle name="Финансовый 4 2 2 4 4" xfId="649"/>
    <cellStyle name="Финансовый 4 2 2 4 4 2" xfId="2263"/>
    <cellStyle name="Финансовый 4 2 2 4 5" xfId="1186"/>
    <cellStyle name="Финансовый 4 2 2 4 5 2" xfId="2800"/>
    <cellStyle name="Финансовый 4 2 2 4 6" xfId="1722"/>
    <cellStyle name="Финансовый 4 2 2 5" xfId="193"/>
    <cellStyle name="Финансовый 4 2 2 5 2" xfId="463"/>
    <cellStyle name="Финансовый 4 2 2 5 2 2" xfId="1006"/>
    <cellStyle name="Финансовый 4 2 2 5 2 2 2" xfId="2620"/>
    <cellStyle name="Финансовый 4 2 2 5 2 3" xfId="1542"/>
    <cellStyle name="Финансовый 4 2 2 5 2 3 2" xfId="3156"/>
    <cellStyle name="Финансовый 4 2 2 5 2 4" xfId="2078"/>
    <cellStyle name="Финансовый 4 2 2 5 3" xfId="738"/>
    <cellStyle name="Финансовый 4 2 2 5 3 2" xfId="2352"/>
    <cellStyle name="Финансовый 4 2 2 5 4" xfId="1274"/>
    <cellStyle name="Финансовый 4 2 2 5 4 2" xfId="2888"/>
    <cellStyle name="Финансовый 4 2 2 5 5" xfId="1810"/>
    <cellStyle name="Финансовый 4 2 2 6" xfId="331"/>
    <cellStyle name="Финансовый 4 2 2 6 2" xfId="874"/>
    <cellStyle name="Финансовый 4 2 2 6 2 2" xfId="2488"/>
    <cellStyle name="Финансовый 4 2 2 6 3" xfId="1410"/>
    <cellStyle name="Финансовый 4 2 2 6 3 2" xfId="3024"/>
    <cellStyle name="Финансовый 4 2 2 6 4" xfId="1946"/>
    <cellStyle name="Финансовый 4 2 2 7" xfId="604"/>
    <cellStyle name="Финансовый 4 2 2 7 2" xfId="2218"/>
    <cellStyle name="Финансовый 4 2 2 8" xfId="1142"/>
    <cellStyle name="Финансовый 4 2 2 8 2" xfId="2756"/>
    <cellStyle name="Финансовый 4 2 2 9" xfId="1678"/>
    <cellStyle name="Финансовый 4 2 3" xfId="40"/>
    <cellStyle name="Финансовый 4 2 3 2" xfId="135"/>
    <cellStyle name="Финансовый 4 2 3 2 2" xfId="274"/>
    <cellStyle name="Финансовый 4 2 3 2 2 2" xfId="542"/>
    <cellStyle name="Финансовый 4 2 3 2 2 2 2" xfId="1085"/>
    <cellStyle name="Финансовый 4 2 3 2 2 2 2 2" xfId="2699"/>
    <cellStyle name="Финансовый 4 2 3 2 2 2 3" xfId="1621"/>
    <cellStyle name="Финансовый 4 2 3 2 2 2 3 2" xfId="3235"/>
    <cellStyle name="Финансовый 4 2 3 2 2 2 4" xfId="2157"/>
    <cellStyle name="Финансовый 4 2 3 2 2 3" xfId="817"/>
    <cellStyle name="Финансовый 4 2 3 2 2 3 2" xfId="2431"/>
    <cellStyle name="Финансовый 4 2 3 2 2 4" xfId="1353"/>
    <cellStyle name="Финансовый 4 2 3 2 2 4 2" xfId="2967"/>
    <cellStyle name="Финансовый 4 2 3 2 2 5" xfId="1889"/>
    <cellStyle name="Финансовый 4 2 3 2 3" xfId="410"/>
    <cellStyle name="Финансовый 4 2 3 2 3 2" xfId="953"/>
    <cellStyle name="Финансовый 4 2 3 2 3 2 2" xfId="2567"/>
    <cellStyle name="Финансовый 4 2 3 2 3 3" xfId="1489"/>
    <cellStyle name="Финансовый 4 2 3 2 3 3 2" xfId="3103"/>
    <cellStyle name="Финансовый 4 2 3 2 3 4" xfId="2025"/>
    <cellStyle name="Финансовый 4 2 3 2 4" xfId="685"/>
    <cellStyle name="Финансовый 4 2 3 2 4 2" xfId="2299"/>
    <cellStyle name="Финансовый 4 2 3 2 5" xfId="1221"/>
    <cellStyle name="Финансовый 4 2 3 2 5 2" xfId="2835"/>
    <cellStyle name="Финансовый 4 2 3 2 6" xfId="1757"/>
    <cellStyle name="Финансовый 4 2 3 3" xfId="87"/>
    <cellStyle name="Финансовый 4 2 3 3 2" xfId="229"/>
    <cellStyle name="Финансовый 4 2 3 3 2 2" xfId="498"/>
    <cellStyle name="Финансовый 4 2 3 3 2 2 2" xfId="1041"/>
    <cellStyle name="Финансовый 4 2 3 3 2 2 2 2" xfId="2655"/>
    <cellStyle name="Финансовый 4 2 3 3 2 2 3" xfId="1577"/>
    <cellStyle name="Финансовый 4 2 3 3 2 2 3 2" xfId="3191"/>
    <cellStyle name="Финансовый 4 2 3 3 2 2 4" xfId="2113"/>
    <cellStyle name="Финансовый 4 2 3 3 2 3" xfId="773"/>
    <cellStyle name="Финансовый 4 2 3 3 2 3 2" xfId="2387"/>
    <cellStyle name="Финансовый 4 2 3 3 2 4" xfId="1309"/>
    <cellStyle name="Финансовый 4 2 3 3 2 4 2" xfId="2923"/>
    <cellStyle name="Финансовый 4 2 3 3 2 5" xfId="1845"/>
    <cellStyle name="Финансовый 4 2 3 3 3" xfId="366"/>
    <cellStyle name="Финансовый 4 2 3 3 3 2" xfId="909"/>
    <cellStyle name="Финансовый 4 2 3 3 3 2 2" xfId="2523"/>
    <cellStyle name="Финансовый 4 2 3 3 3 3" xfId="1445"/>
    <cellStyle name="Финансовый 4 2 3 3 3 3 2" xfId="3059"/>
    <cellStyle name="Финансовый 4 2 3 3 3 4" xfId="1981"/>
    <cellStyle name="Финансовый 4 2 3 3 4" xfId="640"/>
    <cellStyle name="Финансовый 4 2 3 3 4 2" xfId="2254"/>
    <cellStyle name="Финансовый 4 2 3 3 5" xfId="1177"/>
    <cellStyle name="Финансовый 4 2 3 3 5 2" xfId="2791"/>
    <cellStyle name="Финансовый 4 2 3 3 6" xfId="1713"/>
    <cellStyle name="Финансовый 4 2 3 4" xfId="184"/>
    <cellStyle name="Финансовый 4 2 3 4 2" xfId="454"/>
    <cellStyle name="Финансовый 4 2 3 4 2 2" xfId="997"/>
    <cellStyle name="Финансовый 4 2 3 4 2 2 2" xfId="2611"/>
    <cellStyle name="Финансовый 4 2 3 4 2 3" xfId="1533"/>
    <cellStyle name="Финансовый 4 2 3 4 2 3 2" xfId="3147"/>
    <cellStyle name="Финансовый 4 2 3 4 2 4" xfId="2069"/>
    <cellStyle name="Финансовый 4 2 3 4 3" xfId="729"/>
    <cellStyle name="Финансовый 4 2 3 4 3 2" xfId="2343"/>
    <cellStyle name="Финансовый 4 2 3 4 4" xfId="1265"/>
    <cellStyle name="Финансовый 4 2 3 4 4 2" xfId="2879"/>
    <cellStyle name="Финансовый 4 2 3 4 5" xfId="1801"/>
    <cellStyle name="Финансовый 4 2 3 5" xfId="322"/>
    <cellStyle name="Финансовый 4 2 3 5 2" xfId="865"/>
    <cellStyle name="Финансовый 4 2 3 5 2 2" xfId="2479"/>
    <cellStyle name="Финансовый 4 2 3 5 3" xfId="1401"/>
    <cellStyle name="Финансовый 4 2 3 5 3 2" xfId="3015"/>
    <cellStyle name="Финансовый 4 2 3 5 4" xfId="1937"/>
    <cellStyle name="Финансовый 4 2 3 6" xfId="595"/>
    <cellStyle name="Финансовый 4 2 3 6 2" xfId="2209"/>
    <cellStyle name="Финансовый 4 2 3 7" xfId="1133"/>
    <cellStyle name="Финансовый 4 2 3 7 2" xfId="2747"/>
    <cellStyle name="Финансовый 4 2 3 8" xfId="1669"/>
    <cellStyle name="Финансовый 4 2 4" xfId="57"/>
    <cellStyle name="Финансовый 4 2 4 2" xfId="152"/>
    <cellStyle name="Финансовый 4 2 4 2 2" xfId="291"/>
    <cellStyle name="Финансовый 4 2 4 2 2 2" xfId="559"/>
    <cellStyle name="Финансовый 4 2 4 2 2 2 2" xfId="1102"/>
    <cellStyle name="Финансовый 4 2 4 2 2 2 2 2" xfId="2716"/>
    <cellStyle name="Финансовый 4 2 4 2 2 2 3" xfId="1638"/>
    <cellStyle name="Финансовый 4 2 4 2 2 2 3 2" xfId="3252"/>
    <cellStyle name="Финансовый 4 2 4 2 2 2 4" xfId="2174"/>
    <cellStyle name="Финансовый 4 2 4 2 2 3" xfId="834"/>
    <cellStyle name="Финансовый 4 2 4 2 2 3 2" xfId="2448"/>
    <cellStyle name="Финансовый 4 2 4 2 2 4" xfId="1370"/>
    <cellStyle name="Финансовый 4 2 4 2 2 4 2" xfId="2984"/>
    <cellStyle name="Финансовый 4 2 4 2 2 5" xfId="1906"/>
    <cellStyle name="Финансовый 4 2 4 2 3" xfId="427"/>
    <cellStyle name="Финансовый 4 2 4 2 3 2" xfId="970"/>
    <cellStyle name="Финансовый 4 2 4 2 3 2 2" xfId="2584"/>
    <cellStyle name="Финансовый 4 2 4 2 3 3" xfId="1506"/>
    <cellStyle name="Финансовый 4 2 4 2 3 3 2" xfId="3120"/>
    <cellStyle name="Финансовый 4 2 4 2 3 4" xfId="2042"/>
    <cellStyle name="Финансовый 4 2 4 2 4" xfId="702"/>
    <cellStyle name="Финансовый 4 2 4 2 4 2" xfId="2316"/>
    <cellStyle name="Финансовый 4 2 4 2 5" xfId="1238"/>
    <cellStyle name="Финансовый 4 2 4 2 5 2" xfId="2852"/>
    <cellStyle name="Финансовый 4 2 4 2 6" xfId="1774"/>
    <cellStyle name="Финансовый 4 2 4 3" xfId="104"/>
    <cellStyle name="Финансовый 4 2 4 3 2" xfId="246"/>
    <cellStyle name="Финансовый 4 2 4 3 2 2" xfId="515"/>
    <cellStyle name="Финансовый 4 2 4 3 2 2 2" xfId="1058"/>
    <cellStyle name="Финансовый 4 2 4 3 2 2 2 2" xfId="2672"/>
    <cellStyle name="Финансовый 4 2 4 3 2 2 3" xfId="1594"/>
    <cellStyle name="Финансовый 4 2 4 3 2 2 3 2" xfId="3208"/>
    <cellStyle name="Финансовый 4 2 4 3 2 2 4" xfId="2130"/>
    <cellStyle name="Финансовый 4 2 4 3 2 3" xfId="790"/>
    <cellStyle name="Финансовый 4 2 4 3 2 3 2" xfId="2404"/>
    <cellStyle name="Финансовый 4 2 4 3 2 4" xfId="1326"/>
    <cellStyle name="Финансовый 4 2 4 3 2 4 2" xfId="2940"/>
    <cellStyle name="Финансовый 4 2 4 3 2 5" xfId="1862"/>
    <cellStyle name="Финансовый 4 2 4 3 3" xfId="383"/>
    <cellStyle name="Финансовый 4 2 4 3 3 2" xfId="926"/>
    <cellStyle name="Финансовый 4 2 4 3 3 2 2" xfId="2540"/>
    <cellStyle name="Финансовый 4 2 4 3 3 3" xfId="1462"/>
    <cellStyle name="Финансовый 4 2 4 3 3 3 2" xfId="3076"/>
    <cellStyle name="Финансовый 4 2 4 3 3 4" xfId="1998"/>
    <cellStyle name="Финансовый 4 2 4 3 4" xfId="657"/>
    <cellStyle name="Финансовый 4 2 4 3 4 2" xfId="2271"/>
    <cellStyle name="Финансовый 4 2 4 3 5" xfId="1194"/>
    <cellStyle name="Финансовый 4 2 4 3 5 2" xfId="2808"/>
    <cellStyle name="Финансовый 4 2 4 3 6" xfId="1730"/>
    <cellStyle name="Финансовый 4 2 4 4" xfId="201"/>
    <cellStyle name="Финансовый 4 2 4 4 2" xfId="471"/>
    <cellStyle name="Финансовый 4 2 4 4 2 2" xfId="1014"/>
    <cellStyle name="Финансовый 4 2 4 4 2 2 2" xfId="2628"/>
    <cellStyle name="Финансовый 4 2 4 4 2 3" xfId="1550"/>
    <cellStyle name="Финансовый 4 2 4 4 2 3 2" xfId="3164"/>
    <cellStyle name="Финансовый 4 2 4 4 2 4" xfId="2086"/>
    <cellStyle name="Финансовый 4 2 4 4 3" xfId="746"/>
    <cellStyle name="Финансовый 4 2 4 4 3 2" xfId="2360"/>
    <cellStyle name="Финансовый 4 2 4 4 4" xfId="1282"/>
    <cellStyle name="Финансовый 4 2 4 4 4 2" xfId="2896"/>
    <cellStyle name="Финансовый 4 2 4 4 5" xfId="1818"/>
    <cellStyle name="Финансовый 4 2 4 5" xfId="339"/>
    <cellStyle name="Финансовый 4 2 4 5 2" xfId="882"/>
    <cellStyle name="Финансовый 4 2 4 5 2 2" xfId="2496"/>
    <cellStyle name="Финансовый 4 2 4 5 3" xfId="1418"/>
    <cellStyle name="Финансовый 4 2 4 5 3 2" xfId="3032"/>
    <cellStyle name="Финансовый 4 2 4 5 4" xfId="1954"/>
    <cellStyle name="Финансовый 4 2 4 6" xfId="612"/>
    <cellStyle name="Финансовый 4 2 4 6 2" xfId="2226"/>
    <cellStyle name="Финансовый 4 2 4 7" xfId="1150"/>
    <cellStyle name="Финансовый 4 2 4 7 2" xfId="2764"/>
    <cellStyle name="Финансовый 4 2 4 8" xfId="1686"/>
    <cellStyle name="Финансовый 4 2 5" xfId="124"/>
    <cellStyle name="Финансовый 4 2 5 2" xfId="265"/>
    <cellStyle name="Финансовый 4 2 5 2 2" xfId="534"/>
    <cellStyle name="Финансовый 4 2 5 2 2 2" xfId="1077"/>
    <cellStyle name="Финансовый 4 2 5 2 2 2 2" xfId="2691"/>
    <cellStyle name="Финансовый 4 2 5 2 2 3" xfId="1613"/>
    <cellStyle name="Финансовый 4 2 5 2 2 3 2" xfId="3227"/>
    <cellStyle name="Финансовый 4 2 5 2 2 4" xfId="2149"/>
    <cellStyle name="Финансовый 4 2 5 2 3" xfId="809"/>
    <cellStyle name="Финансовый 4 2 5 2 3 2" xfId="2423"/>
    <cellStyle name="Финансовый 4 2 5 2 4" xfId="1345"/>
    <cellStyle name="Финансовый 4 2 5 2 4 2" xfId="2959"/>
    <cellStyle name="Финансовый 4 2 5 2 5" xfId="1881"/>
    <cellStyle name="Финансовый 4 2 5 3" xfId="402"/>
    <cellStyle name="Финансовый 4 2 5 3 2" xfId="945"/>
    <cellStyle name="Финансовый 4 2 5 3 2 2" xfId="2559"/>
    <cellStyle name="Финансовый 4 2 5 3 3" xfId="1481"/>
    <cellStyle name="Финансовый 4 2 5 3 3 2" xfId="3095"/>
    <cellStyle name="Финансовый 4 2 5 3 4" xfId="2017"/>
    <cellStyle name="Финансовый 4 2 5 4" xfId="676"/>
    <cellStyle name="Финансовый 4 2 5 4 2" xfId="2290"/>
    <cellStyle name="Финансовый 4 2 5 5" xfId="1213"/>
    <cellStyle name="Финансовый 4 2 5 5 2" xfId="2827"/>
    <cellStyle name="Финансовый 4 2 5 6" xfId="1749"/>
    <cellStyle name="Финансовый 4 2 6" xfId="76"/>
    <cellStyle name="Финансовый 4 2 6 2" xfId="220"/>
    <cellStyle name="Финансовый 4 2 6 2 2" xfId="490"/>
    <cellStyle name="Финансовый 4 2 6 2 2 2" xfId="1033"/>
    <cellStyle name="Финансовый 4 2 6 2 2 2 2" xfId="2647"/>
    <cellStyle name="Финансовый 4 2 6 2 2 3" xfId="1569"/>
    <cellStyle name="Финансовый 4 2 6 2 2 3 2" xfId="3183"/>
    <cellStyle name="Финансовый 4 2 6 2 2 4" xfId="2105"/>
    <cellStyle name="Финансовый 4 2 6 2 3" xfId="765"/>
    <cellStyle name="Финансовый 4 2 6 2 3 2" xfId="2379"/>
    <cellStyle name="Финансовый 4 2 6 2 4" xfId="1301"/>
    <cellStyle name="Финансовый 4 2 6 2 4 2" xfId="2915"/>
    <cellStyle name="Финансовый 4 2 6 2 5" xfId="1837"/>
    <cellStyle name="Финансовый 4 2 6 3" xfId="358"/>
    <cellStyle name="Финансовый 4 2 6 3 2" xfId="901"/>
    <cellStyle name="Финансовый 4 2 6 3 2 2" xfId="2515"/>
    <cellStyle name="Финансовый 4 2 6 3 3" xfId="1437"/>
    <cellStyle name="Финансовый 4 2 6 3 3 2" xfId="3051"/>
    <cellStyle name="Финансовый 4 2 6 3 4" xfId="1973"/>
    <cellStyle name="Финансовый 4 2 6 4" xfId="631"/>
    <cellStyle name="Финансовый 4 2 6 4 2" xfId="2245"/>
    <cellStyle name="Финансовый 4 2 6 5" xfId="1169"/>
    <cellStyle name="Финансовый 4 2 6 5 2" xfId="2783"/>
    <cellStyle name="Финансовый 4 2 6 6" xfId="1705"/>
    <cellStyle name="Финансовый 4 2 7" xfId="174"/>
    <cellStyle name="Финансовый 4 2 7 2" xfId="446"/>
    <cellStyle name="Финансовый 4 2 7 2 2" xfId="989"/>
    <cellStyle name="Финансовый 4 2 7 2 2 2" xfId="2603"/>
    <cellStyle name="Финансовый 4 2 7 2 3" xfId="1525"/>
    <cellStyle name="Финансовый 4 2 7 2 3 2" xfId="3139"/>
    <cellStyle name="Финансовый 4 2 7 2 4" xfId="2061"/>
    <cellStyle name="Финансовый 4 2 7 3" xfId="721"/>
    <cellStyle name="Финансовый 4 2 7 3 2" xfId="2335"/>
    <cellStyle name="Финансовый 4 2 7 4" xfId="1257"/>
    <cellStyle name="Финансовый 4 2 7 4 2" xfId="2871"/>
    <cellStyle name="Финансовый 4 2 7 5" xfId="1793"/>
    <cellStyle name="Финансовый 4 2 8" xfId="314"/>
    <cellStyle name="Финансовый 4 2 8 2" xfId="857"/>
    <cellStyle name="Финансовый 4 2 8 2 2" xfId="2471"/>
    <cellStyle name="Финансовый 4 2 8 3" xfId="1393"/>
    <cellStyle name="Финансовый 4 2 8 3 2" xfId="3007"/>
    <cellStyle name="Финансовый 4 2 8 4" xfId="1929"/>
    <cellStyle name="Финансовый 4 2 9" xfId="585"/>
    <cellStyle name="Финансовый 4 2 9 2" xfId="2199"/>
    <cellStyle name="Финансовый 4 3" xfId="44"/>
    <cellStyle name="Финансовый 4 3 2" xfId="62"/>
    <cellStyle name="Финансовый 4 3 2 2" xfId="157"/>
    <cellStyle name="Финансовый 4 3 2 2 2" xfId="296"/>
    <cellStyle name="Финансовый 4 3 2 2 2 2" xfId="564"/>
    <cellStyle name="Финансовый 4 3 2 2 2 2 2" xfId="1107"/>
    <cellStyle name="Финансовый 4 3 2 2 2 2 2 2" xfId="2721"/>
    <cellStyle name="Финансовый 4 3 2 2 2 2 3" xfId="1643"/>
    <cellStyle name="Финансовый 4 3 2 2 2 2 3 2" xfId="3257"/>
    <cellStyle name="Финансовый 4 3 2 2 2 2 4" xfId="2179"/>
    <cellStyle name="Финансовый 4 3 2 2 2 3" xfId="839"/>
    <cellStyle name="Финансовый 4 3 2 2 2 3 2" xfId="2453"/>
    <cellStyle name="Финансовый 4 3 2 2 2 4" xfId="1375"/>
    <cellStyle name="Финансовый 4 3 2 2 2 4 2" xfId="2989"/>
    <cellStyle name="Финансовый 4 3 2 2 2 5" xfId="1911"/>
    <cellStyle name="Финансовый 4 3 2 2 3" xfId="432"/>
    <cellStyle name="Финансовый 4 3 2 2 3 2" xfId="975"/>
    <cellStyle name="Финансовый 4 3 2 2 3 2 2" xfId="2589"/>
    <cellStyle name="Финансовый 4 3 2 2 3 3" xfId="1511"/>
    <cellStyle name="Финансовый 4 3 2 2 3 3 2" xfId="3125"/>
    <cellStyle name="Финансовый 4 3 2 2 3 4" xfId="2047"/>
    <cellStyle name="Финансовый 4 3 2 2 4" xfId="707"/>
    <cellStyle name="Финансовый 4 3 2 2 4 2" xfId="2321"/>
    <cellStyle name="Финансовый 4 3 2 2 5" xfId="1243"/>
    <cellStyle name="Финансовый 4 3 2 2 5 2" xfId="2857"/>
    <cellStyle name="Финансовый 4 3 2 2 6" xfId="1779"/>
    <cellStyle name="Финансовый 4 3 2 3" xfId="109"/>
    <cellStyle name="Финансовый 4 3 2 3 2" xfId="251"/>
    <cellStyle name="Финансовый 4 3 2 3 2 2" xfId="520"/>
    <cellStyle name="Финансовый 4 3 2 3 2 2 2" xfId="1063"/>
    <cellStyle name="Финансовый 4 3 2 3 2 2 2 2" xfId="2677"/>
    <cellStyle name="Финансовый 4 3 2 3 2 2 3" xfId="1599"/>
    <cellStyle name="Финансовый 4 3 2 3 2 2 3 2" xfId="3213"/>
    <cellStyle name="Финансовый 4 3 2 3 2 2 4" xfId="2135"/>
    <cellStyle name="Финансовый 4 3 2 3 2 3" xfId="795"/>
    <cellStyle name="Финансовый 4 3 2 3 2 3 2" xfId="2409"/>
    <cellStyle name="Финансовый 4 3 2 3 2 4" xfId="1331"/>
    <cellStyle name="Финансовый 4 3 2 3 2 4 2" xfId="2945"/>
    <cellStyle name="Финансовый 4 3 2 3 2 5" xfId="1867"/>
    <cellStyle name="Финансовый 4 3 2 3 3" xfId="388"/>
    <cellStyle name="Финансовый 4 3 2 3 3 2" xfId="931"/>
    <cellStyle name="Финансовый 4 3 2 3 3 2 2" xfId="2545"/>
    <cellStyle name="Финансовый 4 3 2 3 3 3" xfId="1467"/>
    <cellStyle name="Финансовый 4 3 2 3 3 3 2" xfId="3081"/>
    <cellStyle name="Финансовый 4 3 2 3 3 4" xfId="2003"/>
    <cellStyle name="Финансовый 4 3 2 3 4" xfId="662"/>
    <cellStyle name="Финансовый 4 3 2 3 4 2" xfId="2276"/>
    <cellStyle name="Финансовый 4 3 2 3 5" xfId="1199"/>
    <cellStyle name="Финансовый 4 3 2 3 5 2" xfId="2813"/>
    <cellStyle name="Финансовый 4 3 2 3 6" xfId="1735"/>
    <cellStyle name="Финансовый 4 3 2 4" xfId="206"/>
    <cellStyle name="Финансовый 4 3 2 4 2" xfId="476"/>
    <cellStyle name="Финансовый 4 3 2 4 2 2" xfId="1019"/>
    <cellStyle name="Финансовый 4 3 2 4 2 2 2" xfId="2633"/>
    <cellStyle name="Финансовый 4 3 2 4 2 3" xfId="1555"/>
    <cellStyle name="Финансовый 4 3 2 4 2 3 2" xfId="3169"/>
    <cellStyle name="Финансовый 4 3 2 4 2 4" xfId="2091"/>
    <cellStyle name="Финансовый 4 3 2 4 3" xfId="751"/>
    <cellStyle name="Финансовый 4 3 2 4 3 2" xfId="2365"/>
    <cellStyle name="Финансовый 4 3 2 4 4" xfId="1287"/>
    <cellStyle name="Финансовый 4 3 2 4 4 2" xfId="2901"/>
    <cellStyle name="Финансовый 4 3 2 4 5" xfId="1823"/>
    <cellStyle name="Финансовый 4 3 2 5" xfId="344"/>
    <cellStyle name="Финансовый 4 3 2 5 2" xfId="887"/>
    <cellStyle name="Финансовый 4 3 2 5 2 2" xfId="2501"/>
    <cellStyle name="Финансовый 4 3 2 5 3" xfId="1423"/>
    <cellStyle name="Финансовый 4 3 2 5 3 2" xfId="3037"/>
    <cellStyle name="Финансовый 4 3 2 5 4" xfId="1959"/>
    <cellStyle name="Финансовый 4 3 2 6" xfId="617"/>
    <cellStyle name="Финансовый 4 3 2 6 2" xfId="2231"/>
    <cellStyle name="Финансовый 4 3 2 7" xfId="1155"/>
    <cellStyle name="Финансовый 4 3 2 7 2" xfId="2769"/>
    <cellStyle name="Финансовый 4 3 2 8" xfId="1691"/>
    <cellStyle name="Финансовый 4 3 3" xfId="139"/>
    <cellStyle name="Финансовый 4 3 3 2" xfId="278"/>
    <cellStyle name="Финансовый 4 3 3 2 2" xfId="546"/>
    <cellStyle name="Финансовый 4 3 3 2 2 2" xfId="1089"/>
    <cellStyle name="Финансовый 4 3 3 2 2 2 2" xfId="2703"/>
    <cellStyle name="Финансовый 4 3 3 2 2 3" xfId="1625"/>
    <cellStyle name="Финансовый 4 3 3 2 2 3 2" xfId="3239"/>
    <cellStyle name="Финансовый 4 3 3 2 2 4" xfId="2161"/>
    <cellStyle name="Финансовый 4 3 3 2 3" xfId="821"/>
    <cellStyle name="Финансовый 4 3 3 2 3 2" xfId="2435"/>
    <cellStyle name="Финансовый 4 3 3 2 4" xfId="1357"/>
    <cellStyle name="Финансовый 4 3 3 2 4 2" xfId="2971"/>
    <cellStyle name="Финансовый 4 3 3 2 5" xfId="1893"/>
    <cellStyle name="Финансовый 4 3 3 3" xfId="414"/>
    <cellStyle name="Финансовый 4 3 3 3 2" xfId="957"/>
    <cellStyle name="Финансовый 4 3 3 3 2 2" xfId="2571"/>
    <cellStyle name="Финансовый 4 3 3 3 3" xfId="1493"/>
    <cellStyle name="Финансовый 4 3 3 3 3 2" xfId="3107"/>
    <cellStyle name="Финансовый 4 3 3 3 4" xfId="2029"/>
    <cellStyle name="Финансовый 4 3 3 4" xfId="689"/>
    <cellStyle name="Финансовый 4 3 3 4 2" xfId="2303"/>
    <cellStyle name="Финансовый 4 3 3 5" xfId="1225"/>
    <cellStyle name="Финансовый 4 3 3 5 2" xfId="2839"/>
    <cellStyle name="Финансовый 4 3 3 6" xfId="1761"/>
    <cellStyle name="Финансовый 4 3 4" xfId="91"/>
    <cellStyle name="Финансовый 4 3 4 2" xfId="233"/>
    <cellStyle name="Финансовый 4 3 4 2 2" xfId="502"/>
    <cellStyle name="Финансовый 4 3 4 2 2 2" xfId="1045"/>
    <cellStyle name="Финансовый 4 3 4 2 2 2 2" xfId="2659"/>
    <cellStyle name="Финансовый 4 3 4 2 2 3" xfId="1581"/>
    <cellStyle name="Финансовый 4 3 4 2 2 3 2" xfId="3195"/>
    <cellStyle name="Финансовый 4 3 4 2 2 4" xfId="2117"/>
    <cellStyle name="Финансовый 4 3 4 2 3" xfId="777"/>
    <cellStyle name="Финансовый 4 3 4 2 3 2" xfId="2391"/>
    <cellStyle name="Финансовый 4 3 4 2 4" xfId="1313"/>
    <cellStyle name="Финансовый 4 3 4 2 4 2" xfId="2927"/>
    <cellStyle name="Финансовый 4 3 4 2 5" xfId="1849"/>
    <cellStyle name="Финансовый 4 3 4 3" xfId="370"/>
    <cellStyle name="Финансовый 4 3 4 3 2" xfId="913"/>
    <cellStyle name="Финансовый 4 3 4 3 2 2" xfId="2527"/>
    <cellStyle name="Финансовый 4 3 4 3 3" xfId="1449"/>
    <cellStyle name="Финансовый 4 3 4 3 3 2" xfId="3063"/>
    <cellStyle name="Финансовый 4 3 4 3 4" xfId="1985"/>
    <cellStyle name="Финансовый 4 3 4 4" xfId="644"/>
    <cellStyle name="Финансовый 4 3 4 4 2" xfId="2258"/>
    <cellStyle name="Финансовый 4 3 4 5" xfId="1181"/>
    <cellStyle name="Финансовый 4 3 4 5 2" xfId="2795"/>
    <cellStyle name="Финансовый 4 3 4 6" xfId="1717"/>
    <cellStyle name="Финансовый 4 3 5" xfId="188"/>
    <cellStyle name="Финансовый 4 3 5 2" xfId="458"/>
    <cellStyle name="Финансовый 4 3 5 2 2" xfId="1001"/>
    <cellStyle name="Финансовый 4 3 5 2 2 2" xfId="2615"/>
    <cellStyle name="Финансовый 4 3 5 2 3" xfId="1537"/>
    <cellStyle name="Финансовый 4 3 5 2 3 2" xfId="3151"/>
    <cellStyle name="Финансовый 4 3 5 2 4" xfId="2073"/>
    <cellStyle name="Финансовый 4 3 5 3" xfId="733"/>
    <cellStyle name="Финансовый 4 3 5 3 2" xfId="2347"/>
    <cellStyle name="Финансовый 4 3 5 4" xfId="1269"/>
    <cellStyle name="Финансовый 4 3 5 4 2" xfId="2883"/>
    <cellStyle name="Финансовый 4 3 5 5" xfId="1805"/>
    <cellStyle name="Финансовый 4 3 6" xfId="326"/>
    <cellStyle name="Финансовый 4 3 6 2" xfId="869"/>
    <cellStyle name="Финансовый 4 3 6 2 2" xfId="2483"/>
    <cellStyle name="Финансовый 4 3 6 3" xfId="1405"/>
    <cellStyle name="Финансовый 4 3 6 3 2" xfId="3019"/>
    <cellStyle name="Финансовый 4 3 6 4" xfId="1941"/>
    <cellStyle name="Финансовый 4 3 7" xfId="599"/>
    <cellStyle name="Финансовый 4 3 7 2" xfId="2213"/>
    <cellStyle name="Финансовый 4 3 8" xfId="1137"/>
    <cellStyle name="Финансовый 4 3 8 2" xfId="2751"/>
    <cellStyle name="Финансовый 4 3 9" xfId="1673"/>
    <cellStyle name="Финансовый 4 4" xfId="35"/>
    <cellStyle name="Финансовый 4 4 2" xfId="130"/>
    <cellStyle name="Финансовый 4 4 2 2" xfId="269"/>
    <cellStyle name="Финансовый 4 4 2 2 2" xfId="538"/>
    <cellStyle name="Финансовый 4 4 2 2 2 2" xfId="1081"/>
    <cellStyle name="Финансовый 4 4 2 2 2 2 2" xfId="2695"/>
    <cellStyle name="Финансовый 4 4 2 2 2 3" xfId="1617"/>
    <cellStyle name="Финансовый 4 4 2 2 2 3 2" xfId="3231"/>
    <cellStyle name="Финансовый 4 4 2 2 2 4" xfId="2153"/>
    <cellStyle name="Финансовый 4 4 2 2 3" xfId="813"/>
    <cellStyle name="Финансовый 4 4 2 2 3 2" xfId="2427"/>
    <cellStyle name="Финансовый 4 4 2 2 4" xfId="1349"/>
    <cellStyle name="Финансовый 4 4 2 2 4 2" xfId="2963"/>
    <cellStyle name="Финансовый 4 4 2 2 5" xfId="1885"/>
    <cellStyle name="Финансовый 4 4 2 3" xfId="406"/>
    <cellStyle name="Финансовый 4 4 2 3 2" xfId="949"/>
    <cellStyle name="Финансовый 4 4 2 3 2 2" xfId="2563"/>
    <cellStyle name="Финансовый 4 4 2 3 3" xfId="1485"/>
    <cellStyle name="Финансовый 4 4 2 3 3 2" xfId="3099"/>
    <cellStyle name="Финансовый 4 4 2 3 4" xfId="2021"/>
    <cellStyle name="Финансовый 4 4 2 4" xfId="680"/>
    <cellStyle name="Финансовый 4 4 2 4 2" xfId="2294"/>
    <cellStyle name="Финансовый 4 4 2 5" xfId="1217"/>
    <cellStyle name="Финансовый 4 4 2 5 2" xfId="2831"/>
    <cellStyle name="Финансовый 4 4 2 6" xfId="1753"/>
    <cellStyle name="Финансовый 4 4 3" xfId="82"/>
    <cellStyle name="Финансовый 4 4 3 2" xfId="224"/>
    <cellStyle name="Финансовый 4 4 3 2 2" xfId="494"/>
    <cellStyle name="Финансовый 4 4 3 2 2 2" xfId="1037"/>
    <cellStyle name="Финансовый 4 4 3 2 2 2 2" xfId="2651"/>
    <cellStyle name="Финансовый 4 4 3 2 2 3" xfId="1573"/>
    <cellStyle name="Финансовый 4 4 3 2 2 3 2" xfId="3187"/>
    <cellStyle name="Финансовый 4 4 3 2 2 4" xfId="2109"/>
    <cellStyle name="Финансовый 4 4 3 2 3" xfId="769"/>
    <cellStyle name="Финансовый 4 4 3 2 3 2" xfId="2383"/>
    <cellStyle name="Финансовый 4 4 3 2 4" xfId="1305"/>
    <cellStyle name="Финансовый 4 4 3 2 4 2" xfId="2919"/>
    <cellStyle name="Финансовый 4 4 3 2 5" xfId="1841"/>
    <cellStyle name="Финансовый 4 4 3 3" xfId="362"/>
    <cellStyle name="Финансовый 4 4 3 3 2" xfId="905"/>
    <cellStyle name="Финансовый 4 4 3 3 2 2" xfId="2519"/>
    <cellStyle name="Финансовый 4 4 3 3 3" xfId="1441"/>
    <cellStyle name="Финансовый 4 4 3 3 3 2" xfId="3055"/>
    <cellStyle name="Финансовый 4 4 3 3 4" xfId="1977"/>
    <cellStyle name="Финансовый 4 4 3 4" xfId="635"/>
    <cellStyle name="Финансовый 4 4 3 4 2" xfId="2249"/>
    <cellStyle name="Финансовый 4 4 3 5" xfId="1173"/>
    <cellStyle name="Финансовый 4 4 3 5 2" xfId="2787"/>
    <cellStyle name="Финансовый 4 4 3 6" xfId="1709"/>
    <cellStyle name="Финансовый 4 4 4" xfId="179"/>
    <cellStyle name="Финансовый 4 4 4 2" xfId="450"/>
    <cellStyle name="Финансовый 4 4 4 2 2" xfId="993"/>
    <cellStyle name="Финансовый 4 4 4 2 2 2" xfId="2607"/>
    <cellStyle name="Финансовый 4 4 4 2 3" xfId="1529"/>
    <cellStyle name="Финансовый 4 4 4 2 3 2" xfId="3143"/>
    <cellStyle name="Финансовый 4 4 4 2 4" xfId="2065"/>
    <cellStyle name="Финансовый 4 4 4 3" xfId="725"/>
    <cellStyle name="Финансовый 4 4 4 3 2" xfId="2339"/>
    <cellStyle name="Финансовый 4 4 4 4" xfId="1261"/>
    <cellStyle name="Финансовый 4 4 4 4 2" xfId="2875"/>
    <cellStyle name="Финансовый 4 4 4 5" xfId="1797"/>
    <cellStyle name="Финансовый 4 4 5" xfId="318"/>
    <cellStyle name="Финансовый 4 4 5 2" xfId="861"/>
    <cellStyle name="Финансовый 4 4 5 2 2" xfId="2475"/>
    <cellStyle name="Финансовый 4 4 5 3" xfId="1397"/>
    <cellStyle name="Финансовый 4 4 5 3 2" xfId="3011"/>
    <cellStyle name="Финансовый 4 4 5 4" xfId="1933"/>
    <cellStyle name="Финансовый 4 4 6" xfId="590"/>
    <cellStyle name="Финансовый 4 4 6 2" xfId="2204"/>
    <cellStyle name="Финансовый 4 4 7" xfId="1129"/>
    <cellStyle name="Финансовый 4 4 7 2" xfId="2743"/>
    <cellStyle name="Финансовый 4 4 8" xfId="1665"/>
    <cellStyle name="Финансовый 4 5" xfId="53"/>
    <cellStyle name="Финансовый 4 5 2" xfId="148"/>
    <cellStyle name="Финансовый 4 5 2 2" xfId="287"/>
    <cellStyle name="Финансовый 4 5 2 2 2" xfId="555"/>
    <cellStyle name="Финансовый 4 5 2 2 2 2" xfId="1098"/>
    <cellStyle name="Финансовый 4 5 2 2 2 2 2" xfId="2712"/>
    <cellStyle name="Финансовый 4 5 2 2 2 3" xfId="1634"/>
    <cellStyle name="Финансовый 4 5 2 2 2 3 2" xfId="3248"/>
    <cellStyle name="Финансовый 4 5 2 2 2 4" xfId="2170"/>
    <cellStyle name="Финансовый 4 5 2 2 3" xfId="830"/>
    <cellStyle name="Финансовый 4 5 2 2 3 2" xfId="2444"/>
    <cellStyle name="Финансовый 4 5 2 2 4" xfId="1366"/>
    <cellStyle name="Финансовый 4 5 2 2 4 2" xfId="2980"/>
    <cellStyle name="Финансовый 4 5 2 2 5" xfId="1902"/>
    <cellStyle name="Финансовый 4 5 2 3" xfId="423"/>
    <cellStyle name="Финансовый 4 5 2 3 2" xfId="966"/>
    <cellStyle name="Финансовый 4 5 2 3 2 2" xfId="2580"/>
    <cellStyle name="Финансовый 4 5 2 3 3" xfId="1502"/>
    <cellStyle name="Финансовый 4 5 2 3 3 2" xfId="3116"/>
    <cellStyle name="Финансовый 4 5 2 3 4" xfId="2038"/>
    <cellStyle name="Финансовый 4 5 2 4" xfId="698"/>
    <cellStyle name="Финансовый 4 5 2 4 2" xfId="2312"/>
    <cellStyle name="Финансовый 4 5 2 5" xfId="1234"/>
    <cellStyle name="Финансовый 4 5 2 5 2" xfId="2848"/>
    <cellStyle name="Финансовый 4 5 2 6" xfId="1770"/>
    <cellStyle name="Финансовый 4 5 3" xfId="100"/>
    <cellStyle name="Финансовый 4 5 3 2" xfId="242"/>
    <cellStyle name="Финансовый 4 5 3 2 2" xfId="511"/>
    <cellStyle name="Финансовый 4 5 3 2 2 2" xfId="1054"/>
    <cellStyle name="Финансовый 4 5 3 2 2 2 2" xfId="2668"/>
    <cellStyle name="Финансовый 4 5 3 2 2 3" xfId="1590"/>
    <cellStyle name="Финансовый 4 5 3 2 2 3 2" xfId="3204"/>
    <cellStyle name="Финансовый 4 5 3 2 2 4" xfId="2126"/>
    <cellStyle name="Финансовый 4 5 3 2 3" xfId="786"/>
    <cellStyle name="Финансовый 4 5 3 2 3 2" xfId="2400"/>
    <cellStyle name="Финансовый 4 5 3 2 4" xfId="1322"/>
    <cellStyle name="Финансовый 4 5 3 2 4 2" xfId="2936"/>
    <cellStyle name="Финансовый 4 5 3 2 5" xfId="1858"/>
    <cellStyle name="Финансовый 4 5 3 3" xfId="379"/>
    <cellStyle name="Финансовый 4 5 3 3 2" xfId="922"/>
    <cellStyle name="Финансовый 4 5 3 3 2 2" xfId="2536"/>
    <cellStyle name="Финансовый 4 5 3 3 3" xfId="1458"/>
    <cellStyle name="Финансовый 4 5 3 3 3 2" xfId="3072"/>
    <cellStyle name="Финансовый 4 5 3 3 4" xfId="1994"/>
    <cellStyle name="Финансовый 4 5 3 4" xfId="653"/>
    <cellStyle name="Финансовый 4 5 3 4 2" xfId="2267"/>
    <cellStyle name="Финансовый 4 5 3 5" xfId="1190"/>
    <cellStyle name="Финансовый 4 5 3 5 2" xfId="2804"/>
    <cellStyle name="Финансовый 4 5 3 6" xfId="1726"/>
    <cellStyle name="Финансовый 4 5 4" xfId="197"/>
    <cellStyle name="Финансовый 4 5 4 2" xfId="467"/>
    <cellStyle name="Финансовый 4 5 4 2 2" xfId="1010"/>
    <cellStyle name="Финансовый 4 5 4 2 2 2" xfId="2624"/>
    <cellStyle name="Финансовый 4 5 4 2 3" xfId="1546"/>
    <cellStyle name="Финансовый 4 5 4 2 3 2" xfId="3160"/>
    <cellStyle name="Финансовый 4 5 4 2 4" xfId="2082"/>
    <cellStyle name="Финансовый 4 5 4 3" xfId="742"/>
    <cellStyle name="Финансовый 4 5 4 3 2" xfId="2356"/>
    <cellStyle name="Финансовый 4 5 4 4" xfId="1278"/>
    <cellStyle name="Финансовый 4 5 4 4 2" xfId="2892"/>
    <cellStyle name="Финансовый 4 5 4 5" xfId="1814"/>
    <cellStyle name="Финансовый 4 5 5" xfId="335"/>
    <cellStyle name="Финансовый 4 5 5 2" xfId="878"/>
    <cellStyle name="Финансовый 4 5 5 2 2" xfId="2492"/>
    <cellStyle name="Финансовый 4 5 5 3" xfId="1414"/>
    <cellStyle name="Финансовый 4 5 5 3 2" xfId="3028"/>
    <cellStyle name="Финансовый 4 5 5 4" xfId="1950"/>
    <cellStyle name="Финансовый 4 5 6" xfId="608"/>
    <cellStyle name="Финансовый 4 5 6 2" xfId="2222"/>
    <cellStyle name="Финансовый 4 5 7" xfId="1146"/>
    <cellStyle name="Финансовый 4 5 7 2" xfId="2760"/>
    <cellStyle name="Финансовый 4 5 8" xfId="1682"/>
    <cellStyle name="Финансовый 4 6" xfId="119"/>
    <cellStyle name="Финансовый 4 6 2" xfId="260"/>
    <cellStyle name="Финансовый 4 6 2 2" xfId="529"/>
    <cellStyle name="Финансовый 4 6 2 2 2" xfId="1072"/>
    <cellStyle name="Финансовый 4 6 2 2 2 2" xfId="2686"/>
    <cellStyle name="Финансовый 4 6 2 2 3" xfId="1608"/>
    <cellStyle name="Финансовый 4 6 2 2 3 2" xfId="3222"/>
    <cellStyle name="Финансовый 4 6 2 2 4" xfId="2144"/>
    <cellStyle name="Финансовый 4 6 2 3" xfId="804"/>
    <cellStyle name="Финансовый 4 6 2 3 2" xfId="2418"/>
    <cellStyle name="Финансовый 4 6 2 4" xfId="1340"/>
    <cellStyle name="Финансовый 4 6 2 4 2" xfId="2954"/>
    <cellStyle name="Финансовый 4 6 2 5" xfId="1876"/>
    <cellStyle name="Финансовый 4 6 3" xfId="397"/>
    <cellStyle name="Финансовый 4 6 3 2" xfId="940"/>
    <cellStyle name="Финансовый 4 6 3 2 2" xfId="2554"/>
    <cellStyle name="Финансовый 4 6 3 3" xfId="1476"/>
    <cellStyle name="Финансовый 4 6 3 3 2" xfId="3090"/>
    <cellStyle name="Финансовый 4 6 3 4" xfId="2012"/>
    <cellStyle name="Финансовый 4 6 4" xfId="671"/>
    <cellStyle name="Финансовый 4 6 4 2" xfId="2285"/>
    <cellStyle name="Финансовый 4 6 5" xfId="1208"/>
    <cellStyle name="Финансовый 4 6 5 2" xfId="2822"/>
    <cellStyle name="Финансовый 4 6 6" xfId="1744"/>
    <cellStyle name="Финансовый 4 7" xfId="71"/>
    <cellStyle name="Финансовый 4 7 2" xfId="215"/>
    <cellStyle name="Финансовый 4 7 2 2" xfId="485"/>
    <cellStyle name="Финансовый 4 7 2 2 2" xfId="1028"/>
    <cellStyle name="Финансовый 4 7 2 2 2 2" xfId="2642"/>
    <cellStyle name="Финансовый 4 7 2 2 3" xfId="1564"/>
    <cellStyle name="Финансовый 4 7 2 2 3 2" xfId="3178"/>
    <cellStyle name="Финансовый 4 7 2 2 4" xfId="2100"/>
    <cellStyle name="Финансовый 4 7 2 3" xfId="760"/>
    <cellStyle name="Финансовый 4 7 2 3 2" xfId="2374"/>
    <cellStyle name="Финансовый 4 7 2 4" xfId="1296"/>
    <cellStyle name="Финансовый 4 7 2 4 2" xfId="2910"/>
    <cellStyle name="Финансовый 4 7 2 5" xfId="1832"/>
    <cellStyle name="Финансовый 4 7 3" xfId="353"/>
    <cellStyle name="Финансовый 4 7 3 2" xfId="896"/>
    <cellStyle name="Финансовый 4 7 3 2 2" xfId="2510"/>
    <cellStyle name="Финансовый 4 7 3 3" xfId="1432"/>
    <cellStyle name="Финансовый 4 7 3 3 2" xfId="3046"/>
    <cellStyle name="Финансовый 4 7 3 4" xfId="1968"/>
    <cellStyle name="Финансовый 4 7 4" xfId="626"/>
    <cellStyle name="Финансовый 4 7 4 2" xfId="2240"/>
    <cellStyle name="Финансовый 4 7 5" xfId="1164"/>
    <cellStyle name="Финансовый 4 7 5 2" xfId="2778"/>
    <cellStyle name="Финансовый 4 7 6" xfId="1700"/>
    <cellStyle name="Финансовый 4 8" xfId="167"/>
    <cellStyle name="Финансовый 4 8 2" xfId="441"/>
    <cellStyle name="Финансовый 4 8 2 2" xfId="984"/>
    <cellStyle name="Финансовый 4 8 2 2 2" xfId="2598"/>
    <cellStyle name="Финансовый 4 8 2 3" xfId="1520"/>
    <cellStyle name="Финансовый 4 8 2 3 2" xfId="3134"/>
    <cellStyle name="Финансовый 4 8 2 4" xfId="2056"/>
    <cellStyle name="Финансовый 4 8 3" xfId="716"/>
    <cellStyle name="Финансовый 4 8 3 2" xfId="2330"/>
    <cellStyle name="Финансовый 4 8 4" xfId="1252"/>
    <cellStyle name="Финансовый 4 8 4 2" xfId="2866"/>
    <cellStyle name="Финансовый 4 8 5" xfId="1788"/>
    <cellStyle name="Финансовый 4 9" xfId="309"/>
    <cellStyle name="Финансовый 4 9 2" xfId="852"/>
    <cellStyle name="Финансовый 4 9 2 2" xfId="2466"/>
    <cellStyle name="Финансовый 4 9 3" xfId="1388"/>
    <cellStyle name="Финансовый 4 9 3 2" xfId="3002"/>
    <cellStyle name="Финансовый 4 9 4" xfId="1924"/>
    <cellStyle name="Финансовый 5" xfId="163"/>
  </cellStyles>
  <dxfs count="164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rgb="FFFFFFFF"/>
      </font>
    </dxf>
    <dxf>
      <fill>
        <patternFill patternType="solid"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bgColor rgb="FFFFFF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 patternType="solid"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theme="0"/>
      </font>
    </dxf>
    <dxf>
      <fill>
        <patternFill patternType="solid">
          <bgColor rgb="FFFFFF00"/>
        </patternFill>
      </fill>
    </dxf>
    <dxf>
      <fill>
        <patternFill>
          <bgColor rgb="FFFF000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rgb="FFFFFFFF"/>
      </font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ont>
        <color theme="0"/>
      </font>
    </dxf>
    <dxf>
      <font>
        <color rgb="FFFFFF00"/>
      </font>
    </dxf>
    <dxf>
      <fill>
        <patternFill patternType="solid">
          <bgColor rgb="FFFFFF00"/>
        </patternFill>
      </fill>
    </dxf>
    <dxf>
      <fill>
        <patternFill>
          <bgColor rgb="FFFF0000"/>
        </patternFill>
      </fill>
    </dxf>
    <dxf>
      <font>
        <color auto="1"/>
      </font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color theme="0"/>
      </font>
    </dxf>
    <dxf>
      <font>
        <color rgb="FFFFFFFF"/>
      </font>
    </dxf>
    <dxf>
      <font>
        <color theme="0"/>
      </font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 patternType="solid">
          <bgColor rgb="FFFFFF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ill>
        <patternFill>
          <bgColor rgb="FFFF0000"/>
        </patternFill>
      </fill>
    </dxf>
    <dxf>
      <fill>
        <patternFill patternType="solid">
          <bgColor rgb="FFFFFF0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bgColor rgb="FFFFFF00"/>
        </patternFill>
      </fill>
    </dxf>
    <dxf>
      <fill>
        <patternFill>
          <bgColor rgb="FFFF0000"/>
        </patternFill>
      </fill>
    </dxf>
    <dxf>
      <fill>
        <patternFill patternType="solid">
          <bgColor rgb="FFFFFF00"/>
        </patternFill>
      </fill>
    </dxf>
    <dxf>
      <fill>
        <patternFill>
          <bgColor rgb="FFFF0000"/>
        </patternFill>
      </fill>
    </dxf>
    <dxf>
      <font>
        <color rgb="FFFFFFFF"/>
      </font>
    </dxf>
    <dxf>
      <font>
        <color theme="0"/>
      </font>
    </dxf>
    <dxf>
      <fill>
        <patternFill>
          <bgColor rgb="FFFF0000"/>
        </patternFill>
      </fill>
    </dxf>
    <dxf>
      <fill>
        <patternFill patternType="solid">
          <bgColor rgb="FFFFFF00"/>
        </patternFill>
      </fill>
    </dxf>
    <dxf>
      <fill>
        <patternFill>
          <bgColor rgb="FFFF0000"/>
        </patternFill>
      </fill>
    </dxf>
    <dxf>
      <font>
        <color rgb="FFFFFFFF"/>
      </font>
    </dxf>
    <dxf>
      <font>
        <color auto="1"/>
      </font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color rgb="FFFFFF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auto="1"/>
      </font>
      <fill>
        <patternFill patternType="solid">
          <bgColor rgb="FFFFFF00"/>
        </patternFill>
      </fill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bgColor rgb="FFFFFF00"/>
        </patternFill>
      </fill>
    </dxf>
    <dxf>
      <fill>
        <patternFill>
          <bgColor rgb="FFFF0000"/>
        </patternFill>
      </fill>
    </dxf>
    <dxf>
      <font>
        <color rgb="FFFFFFFF"/>
      </font>
    </dxf>
    <dxf>
      <font>
        <color auto="1"/>
      </font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</dxfs>
  <tableStyles count="0" defaultTableStyle="TableStyleMedium2" defaultPivotStyle="PivotStyleLight16"/>
  <colors>
    <mruColors>
      <color rgb="FFFFFFFF"/>
      <color rgb="FF008A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g"/><Relationship Id="rId18" Type="http://schemas.openxmlformats.org/officeDocument/2006/relationships/image" Target="../media/image19.jpg"/><Relationship Id="rId26" Type="http://schemas.openxmlformats.org/officeDocument/2006/relationships/image" Target="../media/image27.jpg"/><Relationship Id="rId39" Type="http://schemas.openxmlformats.org/officeDocument/2006/relationships/image" Target="../media/image40.jpg"/><Relationship Id="rId21" Type="http://schemas.openxmlformats.org/officeDocument/2006/relationships/image" Target="../media/image22.jpg"/><Relationship Id="rId34" Type="http://schemas.openxmlformats.org/officeDocument/2006/relationships/image" Target="../media/image35.jpg"/><Relationship Id="rId42" Type="http://schemas.openxmlformats.org/officeDocument/2006/relationships/image" Target="../media/image43.jpg"/><Relationship Id="rId47" Type="http://schemas.openxmlformats.org/officeDocument/2006/relationships/image" Target="../media/image48.jpeg"/><Relationship Id="rId50" Type="http://schemas.openxmlformats.org/officeDocument/2006/relationships/image" Target="../media/image51.png"/><Relationship Id="rId55" Type="http://schemas.openxmlformats.org/officeDocument/2006/relationships/image" Target="../media/image56.png"/><Relationship Id="rId7" Type="http://schemas.openxmlformats.org/officeDocument/2006/relationships/image" Target="../media/image8.emf"/><Relationship Id="rId2" Type="http://schemas.openxmlformats.org/officeDocument/2006/relationships/image" Target="../media/image3.emf"/><Relationship Id="rId16" Type="http://schemas.openxmlformats.org/officeDocument/2006/relationships/image" Target="../media/image17.jpg"/><Relationship Id="rId29" Type="http://schemas.openxmlformats.org/officeDocument/2006/relationships/image" Target="../media/image30.emf"/><Relationship Id="rId11" Type="http://schemas.openxmlformats.org/officeDocument/2006/relationships/image" Target="../media/image12.emf"/><Relationship Id="rId24" Type="http://schemas.openxmlformats.org/officeDocument/2006/relationships/image" Target="../media/image25.jpg"/><Relationship Id="rId32" Type="http://schemas.openxmlformats.org/officeDocument/2006/relationships/image" Target="../media/image33.jpg"/><Relationship Id="rId37" Type="http://schemas.openxmlformats.org/officeDocument/2006/relationships/image" Target="../media/image38.jpg"/><Relationship Id="rId40" Type="http://schemas.openxmlformats.org/officeDocument/2006/relationships/image" Target="../media/image41.jpg"/><Relationship Id="rId45" Type="http://schemas.openxmlformats.org/officeDocument/2006/relationships/image" Target="../media/image46.jpg"/><Relationship Id="rId53" Type="http://schemas.openxmlformats.org/officeDocument/2006/relationships/image" Target="../media/image54.png"/><Relationship Id="rId5" Type="http://schemas.openxmlformats.org/officeDocument/2006/relationships/image" Target="../media/image6.emf"/><Relationship Id="rId10" Type="http://schemas.openxmlformats.org/officeDocument/2006/relationships/image" Target="../media/image11.emf"/><Relationship Id="rId19" Type="http://schemas.openxmlformats.org/officeDocument/2006/relationships/image" Target="../media/image20.jpg"/><Relationship Id="rId31" Type="http://schemas.openxmlformats.org/officeDocument/2006/relationships/image" Target="../media/image32.jpg"/><Relationship Id="rId44" Type="http://schemas.openxmlformats.org/officeDocument/2006/relationships/image" Target="../media/image45.jpeg"/><Relationship Id="rId52" Type="http://schemas.openxmlformats.org/officeDocument/2006/relationships/image" Target="../media/image53.png"/><Relationship Id="rId4" Type="http://schemas.openxmlformats.org/officeDocument/2006/relationships/image" Target="../media/image5.emf"/><Relationship Id="rId9" Type="http://schemas.openxmlformats.org/officeDocument/2006/relationships/image" Target="../media/image10.emf"/><Relationship Id="rId14" Type="http://schemas.openxmlformats.org/officeDocument/2006/relationships/image" Target="../media/image15.jpg"/><Relationship Id="rId22" Type="http://schemas.openxmlformats.org/officeDocument/2006/relationships/image" Target="../media/image23.jpg"/><Relationship Id="rId27" Type="http://schemas.openxmlformats.org/officeDocument/2006/relationships/image" Target="../media/image28.png"/><Relationship Id="rId30" Type="http://schemas.openxmlformats.org/officeDocument/2006/relationships/image" Target="../media/image31.emf"/><Relationship Id="rId35" Type="http://schemas.openxmlformats.org/officeDocument/2006/relationships/image" Target="../media/image36.jpg"/><Relationship Id="rId43" Type="http://schemas.openxmlformats.org/officeDocument/2006/relationships/image" Target="../media/image44.jpeg"/><Relationship Id="rId48" Type="http://schemas.openxmlformats.org/officeDocument/2006/relationships/image" Target="../media/image49.jpeg"/><Relationship Id="rId8" Type="http://schemas.openxmlformats.org/officeDocument/2006/relationships/image" Target="../media/image9.emf"/><Relationship Id="rId51" Type="http://schemas.openxmlformats.org/officeDocument/2006/relationships/image" Target="../media/image52.png"/><Relationship Id="rId3" Type="http://schemas.openxmlformats.org/officeDocument/2006/relationships/image" Target="../media/image4.emf"/><Relationship Id="rId12" Type="http://schemas.openxmlformats.org/officeDocument/2006/relationships/image" Target="../media/image13.emf"/><Relationship Id="rId17" Type="http://schemas.openxmlformats.org/officeDocument/2006/relationships/image" Target="../media/image18.jpg"/><Relationship Id="rId25" Type="http://schemas.openxmlformats.org/officeDocument/2006/relationships/image" Target="../media/image26.jpg"/><Relationship Id="rId33" Type="http://schemas.openxmlformats.org/officeDocument/2006/relationships/image" Target="../media/image34.jpg"/><Relationship Id="rId38" Type="http://schemas.openxmlformats.org/officeDocument/2006/relationships/image" Target="../media/image39.jpg"/><Relationship Id="rId46" Type="http://schemas.openxmlformats.org/officeDocument/2006/relationships/image" Target="../media/image47.jpg"/><Relationship Id="rId20" Type="http://schemas.openxmlformats.org/officeDocument/2006/relationships/image" Target="../media/image21.jpg"/><Relationship Id="rId41" Type="http://schemas.openxmlformats.org/officeDocument/2006/relationships/image" Target="../media/image42.jpg"/><Relationship Id="rId54" Type="http://schemas.openxmlformats.org/officeDocument/2006/relationships/image" Target="../media/image55.png"/><Relationship Id="rId1" Type="http://schemas.openxmlformats.org/officeDocument/2006/relationships/image" Target="../media/image2.emf"/><Relationship Id="rId6" Type="http://schemas.openxmlformats.org/officeDocument/2006/relationships/image" Target="../media/image7.emf"/><Relationship Id="rId15" Type="http://schemas.openxmlformats.org/officeDocument/2006/relationships/image" Target="../media/image16.emf"/><Relationship Id="rId23" Type="http://schemas.openxmlformats.org/officeDocument/2006/relationships/image" Target="../media/image24.emf"/><Relationship Id="rId28" Type="http://schemas.openxmlformats.org/officeDocument/2006/relationships/image" Target="../media/image29.png"/><Relationship Id="rId36" Type="http://schemas.openxmlformats.org/officeDocument/2006/relationships/image" Target="../media/image37.jpg"/><Relationship Id="rId49" Type="http://schemas.openxmlformats.org/officeDocument/2006/relationships/image" Target="../media/image50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933448</xdr:colOff>
      <xdr:row>33</xdr:row>
      <xdr:rowOff>65311</xdr:rowOff>
    </xdr:from>
    <xdr:to>
      <xdr:col>1</xdr:col>
      <xdr:colOff>2239736</xdr:colOff>
      <xdr:row>44</xdr:row>
      <xdr:rowOff>65312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191" y="10482940"/>
          <a:ext cx="1306288" cy="347254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568776</xdr:colOff>
      <xdr:row>24</xdr:row>
      <xdr:rowOff>201393</xdr:rowOff>
    </xdr:from>
    <xdr:to>
      <xdr:col>1</xdr:col>
      <xdr:colOff>1868180</xdr:colOff>
      <xdr:row>33</xdr:row>
      <xdr:rowOff>74841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090" y="6602193"/>
          <a:ext cx="1299404" cy="27146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896001</xdr:colOff>
      <xdr:row>27</xdr:row>
      <xdr:rowOff>228600</xdr:rowOff>
    </xdr:from>
    <xdr:to>
      <xdr:col>1</xdr:col>
      <xdr:colOff>2154009</xdr:colOff>
      <xdr:row>35</xdr:row>
      <xdr:rowOff>251458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744" y="8752114"/>
          <a:ext cx="1258008" cy="254834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606876</xdr:colOff>
      <xdr:row>22</xdr:row>
      <xdr:rowOff>210918</xdr:rowOff>
    </xdr:from>
    <xdr:to>
      <xdr:col>1</xdr:col>
      <xdr:colOff>1915884</xdr:colOff>
      <xdr:row>31</xdr:row>
      <xdr:rowOff>195945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190" y="5991232"/>
          <a:ext cx="1309008" cy="282619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554651</xdr:colOff>
      <xdr:row>4</xdr:row>
      <xdr:rowOff>0</xdr:rowOff>
    </xdr:from>
    <xdr:to>
      <xdr:col>3</xdr:col>
      <xdr:colOff>874277</xdr:colOff>
      <xdr:row>4</xdr:row>
      <xdr:rowOff>326</xdr:rowOff>
    </xdr:to>
    <xdr:pic>
      <xdr:nvPicPr>
        <xdr:cNvPr id="537" name="Рисунок 536">
          <a:extLst>
            <a:ext uri="{FF2B5EF4-FFF2-40B4-BE49-F238E27FC236}">
              <a16:creationId xmlns:a16="http://schemas.microsoft.com/office/drawing/2014/main" id="{00000000-0008-0000-0100-00001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326" y="23994534"/>
          <a:ext cx="319626" cy="209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863113</xdr:colOff>
      <xdr:row>4</xdr:row>
      <xdr:rowOff>0</xdr:rowOff>
    </xdr:from>
    <xdr:to>
      <xdr:col>1</xdr:col>
      <xdr:colOff>1140909</xdr:colOff>
      <xdr:row>4</xdr:row>
      <xdr:rowOff>0</xdr:rowOff>
    </xdr:to>
    <xdr:pic>
      <xdr:nvPicPr>
        <xdr:cNvPr id="538" name="Рисунок 537">
          <a:extLst>
            <a:ext uri="{FF2B5EF4-FFF2-40B4-BE49-F238E27FC236}">
              <a16:creationId xmlns:a16="http://schemas.microsoft.com/office/drawing/2014/main" id="{00000000-0008-0000-0100-00001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788" y="23993475"/>
          <a:ext cx="277796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273647</xdr:colOff>
      <xdr:row>10</xdr:row>
      <xdr:rowOff>18996</xdr:rowOff>
    </xdr:from>
    <xdr:to>
      <xdr:col>1</xdr:col>
      <xdr:colOff>873104</xdr:colOff>
      <xdr:row>12</xdr:row>
      <xdr:rowOff>127140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89" t="7772" r="12210" b="14506"/>
        <a:stretch/>
      </xdr:blipFill>
      <xdr:spPr bwMode="auto">
        <a:xfrm>
          <a:off x="342227" y="2868876"/>
          <a:ext cx="599457" cy="611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357200</xdr:colOff>
      <xdr:row>40</xdr:row>
      <xdr:rowOff>239937</xdr:rowOff>
    </xdr:from>
    <xdr:to>
      <xdr:col>1</xdr:col>
      <xdr:colOff>885826</xdr:colOff>
      <xdr:row>43</xdr:row>
      <xdr:rowOff>26407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5" t="4963" r="13906" b="15660"/>
        <a:stretch/>
      </xdr:blipFill>
      <xdr:spPr bwMode="auto">
        <a:xfrm>
          <a:off x="425780" y="10633617"/>
          <a:ext cx="528626" cy="540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329377</xdr:colOff>
      <xdr:row>51</xdr:row>
      <xdr:rowOff>162578</xdr:rowOff>
    </xdr:from>
    <xdr:to>
      <xdr:col>1</xdr:col>
      <xdr:colOff>863236</xdr:colOff>
      <xdr:row>53</xdr:row>
      <xdr:rowOff>226888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47" t="10100" r="13937" b="14153"/>
        <a:stretch/>
      </xdr:blipFill>
      <xdr:spPr bwMode="auto">
        <a:xfrm>
          <a:off x="397957" y="12148838"/>
          <a:ext cx="533859" cy="567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322776</xdr:colOff>
      <xdr:row>31</xdr:row>
      <xdr:rowOff>38099</xdr:rowOff>
    </xdr:from>
    <xdr:to>
      <xdr:col>1</xdr:col>
      <xdr:colOff>796068</xdr:colOff>
      <xdr:row>32</xdr:row>
      <xdr:rowOff>190500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451" y="4933949"/>
          <a:ext cx="473292" cy="400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318687</xdr:colOff>
      <xdr:row>23</xdr:row>
      <xdr:rowOff>26593</xdr:rowOff>
    </xdr:from>
    <xdr:to>
      <xdr:col>1</xdr:col>
      <xdr:colOff>937260</xdr:colOff>
      <xdr:row>25</xdr:row>
      <xdr:rowOff>47413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267" y="6145453"/>
          <a:ext cx="618573" cy="523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192636</xdr:colOff>
      <xdr:row>148</xdr:row>
      <xdr:rowOff>41606</xdr:rowOff>
    </xdr:from>
    <xdr:to>
      <xdr:col>1</xdr:col>
      <xdr:colOff>907395</xdr:colOff>
      <xdr:row>148</xdr:row>
      <xdr:rowOff>476250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05" t="4717" r="6826" b="10377"/>
        <a:stretch/>
      </xdr:blipFill>
      <xdr:spPr bwMode="auto">
        <a:xfrm>
          <a:off x="259311" y="25435256"/>
          <a:ext cx="714759" cy="4346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358140</xdr:colOff>
      <xdr:row>147</xdr:row>
      <xdr:rowOff>72038</xdr:rowOff>
    </xdr:from>
    <xdr:to>
      <xdr:col>1</xdr:col>
      <xdr:colOff>889131</xdr:colOff>
      <xdr:row>147</xdr:row>
      <xdr:rowOff>428657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55" t="5713" r="2342" b="4288"/>
        <a:stretch/>
      </xdr:blipFill>
      <xdr:spPr bwMode="auto">
        <a:xfrm>
          <a:off x="426720" y="33074258"/>
          <a:ext cx="530991" cy="3566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201989</xdr:colOff>
      <xdr:row>150</xdr:row>
      <xdr:rowOff>31146</xdr:rowOff>
    </xdr:from>
    <xdr:to>
      <xdr:col>1</xdr:col>
      <xdr:colOff>839035</xdr:colOff>
      <xdr:row>151</xdr:row>
      <xdr:rowOff>1905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47" t="10549" r="14472" b="8498"/>
        <a:stretch/>
      </xdr:blipFill>
      <xdr:spPr bwMode="auto">
        <a:xfrm>
          <a:off x="268664" y="26567796"/>
          <a:ext cx="637046" cy="473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215543</xdr:colOff>
      <xdr:row>120</xdr:row>
      <xdr:rowOff>90765</xdr:rowOff>
    </xdr:from>
    <xdr:to>
      <xdr:col>1</xdr:col>
      <xdr:colOff>781050</xdr:colOff>
      <xdr:row>122</xdr:row>
      <xdr:rowOff>99771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421" r="10721" b="7368"/>
        <a:stretch/>
      </xdr:blipFill>
      <xdr:spPr bwMode="auto">
        <a:xfrm>
          <a:off x="282218" y="17864415"/>
          <a:ext cx="565507" cy="3900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252176</xdr:colOff>
      <xdr:row>130</xdr:row>
      <xdr:rowOff>32740</xdr:rowOff>
    </xdr:from>
    <xdr:to>
      <xdr:col>1</xdr:col>
      <xdr:colOff>847854</xdr:colOff>
      <xdr:row>130</xdr:row>
      <xdr:rowOff>476250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33" t="4623" r="8794" b="2910"/>
        <a:stretch/>
      </xdr:blipFill>
      <xdr:spPr bwMode="auto">
        <a:xfrm>
          <a:off x="318851" y="19730440"/>
          <a:ext cx="595678" cy="443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450500</xdr:colOff>
      <xdr:row>33</xdr:row>
      <xdr:rowOff>38190</xdr:rowOff>
    </xdr:from>
    <xdr:to>
      <xdr:col>1</xdr:col>
      <xdr:colOff>723062</xdr:colOff>
      <xdr:row>35</xdr:row>
      <xdr:rowOff>103811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175" y="5257890"/>
          <a:ext cx="272562" cy="446621"/>
        </a:xfrm>
        <a:prstGeom prst="rect">
          <a:avLst/>
        </a:prstGeom>
      </xdr:spPr>
    </xdr:pic>
    <xdr:clientData/>
  </xdr:twoCellAnchor>
  <xdr:twoCellAnchor editAs="oneCell">
    <xdr:from>
      <xdr:col>1</xdr:col>
      <xdr:colOff>493234</xdr:colOff>
      <xdr:row>99</xdr:row>
      <xdr:rowOff>150645</xdr:rowOff>
    </xdr:from>
    <xdr:to>
      <xdr:col>1</xdr:col>
      <xdr:colOff>789000</xdr:colOff>
      <xdr:row>101</xdr:row>
      <xdr:rowOff>180976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-1" r="29808" b="3366"/>
        <a:stretch/>
      </xdr:blipFill>
      <xdr:spPr>
        <a:xfrm>
          <a:off x="559909" y="11332995"/>
          <a:ext cx="295766" cy="525631"/>
        </a:xfrm>
        <a:prstGeom prst="rect">
          <a:avLst/>
        </a:prstGeom>
      </xdr:spPr>
    </xdr:pic>
    <xdr:clientData/>
  </xdr:twoCellAnchor>
  <xdr:twoCellAnchor editAs="oneCell">
    <xdr:from>
      <xdr:col>1</xdr:col>
      <xdr:colOff>272417</xdr:colOff>
      <xdr:row>155</xdr:row>
      <xdr:rowOff>43815</xdr:rowOff>
    </xdr:from>
    <xdr:to>
      <xdr:col>1</xdr:col>
      <xdr:colOff>801759</xdr:colOff>
      <xdr:row>155</xdr:row>
      <xdr:rowOff>449580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35" t="7713" r="2347" b="-273"/>
        <a:stretch/>
      </xdr:blipFill>
      <xdr:spPr bwMode="auto">
        <a:xfrm>
          <a:off x="340997" y="36315015"/>
          <a:ext cx="529342" cy="405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334238</xdr:colOff>
      <xdr:row>103</xdr:row>
      <xdr:rowOff>228634</xdr:rowOff>
    </xdr:from>
    <xdr:to>
      <xdr:col>1</xdr:col>
      <xdr:colOff>841992</xdr:colOff>
      <xdr:row>105</xdr:row>
      <xdr:rowOff>104930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913" y="12677809"/>
          <a:ext cx="507754" cy="295396"/>
        </a:xfrm>
        <a:prstGeom prst="rect">
          <a:avLst/>
        </a:prstGeom>
      </xdr:spPr>
    </xdr:pic>
    <xdr:clientData/>
  </xdr:twoCellAnchor>
  <xdr:twoCellAnchor editAs="oneCell">
    <xdr:from>
      <xdr:col>1</xdr:col>
      <xdr:colOff>295246</xdr:colOff>
      <xdr:row>149</xdr:row>
      <xdr:rowOff>36487</xdr:rowOff>
    </xdr:from>
    <xdr:to>
      <xdr:col>1</xdr:col>
      <xdr:colOff>804784</xdr:colOff>
      <xdr:row>149</xdr:row>
      <xdr:rowOff>495300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21" y="26001637"/>
          <a:ext cx="509538" cy="458813"/>
        </a:xfrm>
        <a:prstGeom prst="rect">
          <a:avLst/>
        </a:prstGeom>
      </xdr:spPr>
    </xdr:pic>
    <xdr:clientData/>
  </xdr:twoCellAnchor>
  <xdr:twoCellAnchor editAs="oneCell">
    <xdr:from>
      <xdr:col>1</xdr:col>
      <xdr:colOff>281940</xdr:colOff>
      <xdr:row>146</xdr:row>
      <xdr:rowOff>99806</xdr:rowOff>
    </xdr:from>
    <xdr:to>
      <xdr:col>1</xdr:col>
      <xdr:colOff>961332</xdr:colOff>
      <xdr:row>146</xdr:row>
      <xdr:rowOff>470937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520" y="32599106"/>
          <a:ext cx="679392" cy="371131"/>
        </a:xfrm>
        <a:prstGeom prst="rect">
          <a:avLst/>
        </a:prstGeom>
      </xdr:spPr>
    </xdr:pic>
    <xdr:clientData/>
  </xdr:twoCellAnchor>
  <xdr:oneCellAnchor>
    <xdr:from>
      <xdr:col>1</xdr:col>
      <xdr:colOff>381000</xdr:colOff>
      <xdr:row>154</xdr:row>
      <xdr:rowOff>76200</xdr:rowOff>
    </xdr:from>
    <xdr:ext cx="399096" cy="344674"/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27755850"/>
          <a:ext cx="399096" cy="344674"/>
        </a:xfrm>
        <a:prstGeom prst="rect">
          <a:avLst/>
        </a:prstGeom>
      </xdr:spPr>
    </xdr:pic>
    <xdr:clientData/>
  </xdr:oneCellAnchor>
  <xdr:twoCellAnchor editAs="oneCell">
    <xdr:from>
      <xdr:col>1</xdr:col>
      <xdr:colOff>719985</xdr:colOff>
      <xdr:row>161</xdr:row>
      <xdr:rowOff>94421</xdr:rowOff>
    </xdr:from>
    <xdr:to>
      <xdr:col>1</xdr:col>
      <xdr:colOff>1242040</xdr:colOff>
      <xdr:row>162</xdr:row>
      <xdr:rowOff>161925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565" y="39969881"/>
          <a:ext cx="522055" cy="334204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314325</xdr:colOff>
      <xdr:row>151</xdr:row>
      <xdr:rowOff>152400</xdr:rowOff>
    </xdr:from>
    <xdr:to>
      <xdr:col>1</xdr:col>
      <xdr:colOff>762000</xdr:colOff>
      <xdr:row>153</xdr:row>
      <xdr:rowOff>123825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27260550"/>
          <a:ext cx="447675" cy="466725"/>
        </a:xfrm>
        <a:prstGeom prst="rect">
          <a:avLst/>
        </a:prstGeom>
      </xdr:spPr>
    </xdr:pic>
    <xdr:clientData/>
  </xdr:twoCellAnchor>
  <xdr:twoCellAnchor editAs="oneCell">
    <xdr:from>
      <xdr:col>1</xdr:col>
      <xdr:colOff>380999</xdr:colOff>
      <xdr:row>145</xdr:row>
      <xdr:rowOff>44728</xdr:rowOff>
    </xdr:from>
    <xdr:to>
      <xdr:col>1</xdr:col>
      <xdr:colOff>869674</xdr:colOff>
      <xdr:row>145</xdr:row>
      <xdr:rowOff>495300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579" y="32041108"/>
          <a:ext cx="488675" cy="450572"/>
        </a:xfrm>
        <a:prstGeom prst="rect">
          <a:avLst/>
        </a:prstGeom>
      </xdr:spPr>
    </xdr:pic>
    <xdr:clientData/>
  </xdr:twoCellAnchor>
  <xdr:twoCellAnchor editAs="oneCell">
    <xdr:from>
      <xdr:col>1</xdr:col>
      <xdr:colOff>315898</xdr:colOff>
      <xdr:row>66</xdr:row>
      <xdr:rowOff>160020</xdr:rowOff>
    </xdr:from>
    <xdr:to>
      <xdr:col>1</xdr:col>
      <xdr:colOff>880286</xdr:colOff>
      <xdr:row>69</xdr:row>
      <xdr:rowOff>82994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478" y="17091660"/>
          <a:ext cx="564388" cy="677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231925</xdr:colOff>
      <xdr:row>158</xdr:row>
      <xdr:rowOff>41416</xdr:rowOff>
    </xdr:from>
    <xdr:to>
      <xdr:col>1</xdr:col>
      <xdr:colOff>728881</xdr:colOff>
      <xdr:row>158</xdr:row>
      <xdr:rowOff>447676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600" y="30178516"/>
          <a:ext cx="496956" cy="40626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159</xdr:row>
      <xdr:rowOff>41416</xdr:rowOff>
    </xdr:from>
    <xdr:to>
      <xdr:col>1</xdr:col>
      <xdr:colOff>861082</xdr:colOff>
      <xdr:row>159</xdr:row>
      <xdr:rowOff>467114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180" y="38324296"/>
          <a:ext cx="632482" cy="425698"/>
        </a:xfrm>
        <a:prstGeom prst="rect">
          <a:avLst/>
        </a:prstGeom>
      </xdr:spPr>
    </xdr:pic>
    <xdr:clientData/>
  </xdr:twoCellAnchor>
  <xdr:twoCellAnchor editAs="oneCell">
    <xdr:from>
      <xdr:col>1</xdr:col>
      <xdr:colOff>88381</xdr:colOff>
      <xdr:row>161</xdr:row>
      <xdr:rowOff>20543</xdr:rowOff>
    </xdr:from>
    <xdr:to>
      <xdr:col>1</xdr:col>
      <xdr:colOff>775833</xdr:colOff>
      <xdr:row>162</xdr:row>
      <xdr:rowOff>163831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961" y="39896003"/>
          <a:ext cx="687452" cy="409988"/>
        </a:xfrm>
        <a:prstGeom prst="rect">
          <a:avLst/>
        </a:prstGeom>
      </xdr:spPr>
    </xdr:pic>
    <xdr:clientData/>
  </xdr:twoCellAnchor>
  <xdr:twoCellAnchor>
    <xdr:from>
      <xdr:col>1</xdr:col>
      <xdr:colOff>333375</xdr:colOff>
      <xdr:row>157</xdr:row>
      <xdr:rowOff>38101</xdr:rowOff>
    </xdr:from>
    <xdr:to>
      <xdr:col>1</xdr:col>
      <xdr:colOff>794128</xdr:colOff>
      <xdr:row>157</xdr:row>
      <xdr:rowOff>472441</xdr:rowOff>
    </xdr:to>
    <xdr:pic>
      <xdr:nvPicPr>
        <xdr:cNvPr id="82" name="Рисунок 81" descr="image001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955" y="37315141"/>
          <a:ext cx="460753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102</xdr:row>
      <xdr:rowOff>104775</xdr:rowOff>
    </xdr:from>
    <xdr:to>
      <xdr:col>1</xdr:col>
      <xdr:colOff>904875</xdr:colOff>
      <xdr:row>102</xdr:row>
      <xdr:rowOff>428625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12220575"/>
          <a:ext cx="685800" cy="323850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266701</xdr:colOff>
      <xdr:row>135</xdr:row>
      <xdr:rowOff>76201</xdr:rowOff>
    </xdr:from>
    <xdr:to>
      <xdr:col>1</xdr:col>
      <xdr:colOff>942975</xdr:colOff>
      <xdr:row>135</xdr:row>
      <xdr:rowOff>447675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6" y="21021676"/>
          <a:ext cx="676274" cy="371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350521</xdr:colOff>
      <xdr:row>110</xdr:row>
      <xdr:rowOff>131446</xdr:rowOff>
    </xdr:from>
    <xdr:to>
      <xdr:col>1</xdr:col>
      <xdr:colOff>990600</xdr:colOff>
      <xdr:row>112</xdr:row>
      <xdr:rowOff>216118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1" y="22320886"/>
          <a:ext cx="640079" cy="5875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344805</xdr:colOff>
      <xdr:row>113</xdr:row>
      <xdr:rowOff>30481</xdr:rowOff>
    </xdr:from>
    <xdr:to>
      <xdr:col>1</xdr:col>
      <xdr:colOff>1019714</xdr:colOff>
      <xdr:row>115</xdr:row>
      <xdr:rowOff>182881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385" y="22974301"/>
          <a:ext cx="674909" cy="655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300404</xdr:colOff>
      <xdr:row>131</xdr:row>
      <xdr:rowOff>101845</xdr:rowOff>
    </xdr:from>
    <xdr:to>
      <xdr:col>1</xdr:col>
      <xdr:colOff>886558</xdr:colOff>
      <xdr:row>133</xdr:row>
      <xdr:rowOff>152400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079" y="20304370"/>
          <a:ext cx="586154" cy="545855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409575</xdr:colOff>
      <xdr:row>116</xdr:row>
      <xdr:rowOff>46893</xdr:rowOff>
    </xdr:from>
    <xdr:to>
      <xdr:col>1</xdr:col>
      <xdr:colOff>790575</xdr:colOff>
      <xdr:row>116</xdr:row>
      <xdr:rowOff>447675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" y="16668018"/>
          <a:ext cx="381000" cy="400782"/>
        </a:xfrm>
        <a:prstGeom prst="rect">
          <a:avLst/>
        </a:prstGeom>
      </xdr:spPr>
    </xdr:pic>
    <xdr:clientData/>
  </xdr:twoCellAnchor>
  <xdr:twoCellAnchor editAs="oneCell">
    <xdr:from>
      <xdr:col>1</xdr:col>
      <xdr:colOff>212480</xdr:colOff>
      <xdr:row>142</xdr:row>
      <xdr:rowOff>87923</xdr:rowOff>
    </xdr:from>
    <xdr:to>
      <xdr:col>1</xdr:col>
      <xdr:colOff>921929</xdr:colOff>
      <xdr:row>144</xdr:row>
      <xdr:rowOff>161925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155" y="23024123"/>
          <a:ext cx="709449" cy="569302"/>
        </a:xfrm>
        <a:prstGeom prst="rect">
          <a:avLst/>
        </a:prstGeom>
      </xdr:spPr>
    </xdr:pic>
    <xdr:clientData/>
  </xdr:twoCellAnchor>
  <xdr:twoCellAnchor editAs="oneCell">
    <xdr:from>
      <xdr:col>1</xdr:col>
      <xdr:colOff>260839</xdr:colOff>
      <xdr:row>137</xdr:row>
      <xdr:rowOff>178777</xdr:rowOff>
    </xdr:from>
    <xdr:to>
      <xdr:col>1</xdr:col>
      <xdr:colOff>971551</xdr:colOff>
      <xdr:row>139</xdr:row>
      <xdr:rowOff>219075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514" y="21876727"/>
          <a:ext cx="710712" cy="535598"/>
        </a:xfrm>
        <a:prstGeom prst="rect">
          <a:avLst/>
        </a:prstGeom>
      </xdr:spPr>
    </xdr:pic>
    <xdr:clientData/>
  </xdr:twoCellAnchor>
  <xdr:twoCellAnchor editAs="oneCell">
    <xdr:from>
      <xdr:col>1</xdr:col>
      <xdr:colOff>323266</xdr:colOff>
      <xdr:row>156</xdr:row>
      <xdr:rowOff>43669</xdr:rowOff>
    </xdr:from>
    <xdr:to>
      <xdr:col>1</xdr:col>
      <xdr:colOff>754350</xdr:colOff>
      <xdr:row>156</xdr:row>
      <xdr:rowOff>480060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846" y="36817789"/>
          <a:ext cx="431084" cy="436391"/>
        </a:xfrm>
        <a:prstGeom prst="rect">
          <a:avLst/>
        </a:prstGeom>
      </xdr:spPr>
    </xdr:pic>
    <xdr:clientData/>
  </xdr:twoCellAnchor>
  <xdr:oneCellAnchor>
    <xdr:from>
      <xdr:col>1</xdr:col>
      <xdr:colOff>148048</xdr:colOff>
      <xdr:row>170</xdr:row>
      <xdr:rowOff>60961</xdr:rowOff>
    </xdr:from>
    <xdr:ext cx="993967" cy="601980"/>
    <xdr:pic>
      <xdr:nvPicPr>
        <xdr:cNvPr id="94" name="Рисунок 9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628" y="41384221"/>
          <a:ext cx="993967" cy="601980"/>
        </a:xfrm>
        <a:prstGeom prst="rect">
          <a:avLst/>
        </a:prstGeom>
      </xdr:spPr>
    </xdr:pic>
    <xdr:clientData/>
  </xdr:oneCellAnchor>
  <xdr:twoCellAnchor editAs="oneCell">
    <xdr:from>
      <xdr:col>1</xdr:col>
      <xdr:colOff>448005</xdr:colOff>
      <xdr:row>173</xdr:row>
      <xdr:rowOff>34161</xdr:rowOff>
    </xdr:from>
    <xdr:to>
      <xdr:col>1</xdr:col>
      <xdr:colOff>852045</xdr:colOff>
      <xdr:row>173</xdr:row>
      <xdr:rowOff>390525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680" y="35057586"/>
          <a:ext cx="404040" cy="356364"/>
        </a:xfrm>
        <a:prstGeom prst="rect">
          <a:avLst/>
        </a:prstGeom>
      </xdr:spPr>
    </xdr:pic>
    <xdr:clientData/>
  </xdr:twoCellAnchor>
  <xdr:twoCellAnchor editAs="oneCell">
    <xdr:from>
      <xdr:col>1</xdr:col>
      <xdr:colOff>482354</xdr:colOff>
      <xdr:row>174</xdr:row>
      <xdr:rowOff>49341</xdr:rowOff>
    </xdr:from>
    <xdr:to>
      <xdr:col>1</xdr:col>
      <xdr:colOff>819150</xdr:colOff>
      <xdr:row>174</xdr:row>
      <xdr:rowOff>467758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029" y="35558541"/>
          <a:ext cx="336796" cy="418417"/>
        </a:xfrm>
        <a:prstGeom prst="rect">
          <a:avLst/>
        </a:prstGeom>
      </xdr:spPr>
    </xdr:pic>
    <xdr:clientData/>
  </xdr:twoCellAnchor>
  <xdr:twoCellAnchor editAs="oneCell">
    <xdr:from>
      <xdr:col>1</xdr:col>
      <xdr:colOff>448542</xdr:colOff>
      <xdr:row>175</xdr:row>
      <xdr:rowOff>85727</xdr:rowOff>
    </xdr:from>
    <xdr:to>
      <xdr:col>1</xdr:col>
      <xdr:colOff>833003</xdr:colOff>
      <xdr:row>175</xdr:row>
      <xdr:rowOff>438150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217" y="36090227"/>
          <a:ext cx="384461" cy="352423"/>
        </a:xfrm>
        <a:prstGeom prst="rect">
          <a:avLst/>
        </a:prstGeom>
      </xdr:spPr>
    </xdr:pic>
    <xdr:clientData/>
  </xdr:twoCellAnchor>
  <xdr:twoCellAnchor editAs="oneCell">
    <xdr:from>
      <xdr:col>1</xdr:col>
      <xdr:colOff>94826</xdr:colOff>
      <xdr:row>176</xdr:row>
      <xdr:rowOff>67034</xdr:rowOff>
    </xdr:from>
    <xdr:to>
      <xdr:col>1</xdr:col>
      <xdr:colOff>1101280</xdr:colOff>
      <xdr:row>176</xdr:row>
      <xdr:rowOff>342900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501" y="36604934"/>
          <a:ext cx="1006454" cy="275866"/>
        </a:xfrm>
        <a:prstGeom prst="rect">
          <a:avLst/>
        </a:prstGeom>
      </xdr:spPr>
    </xdr:pic>
    <xdr:clientData/>
  </xdr:twoCellAnchor>
  <xdr:twoCellAnchor editAs="oneCell">
    <xdr:from>
      <xdr:col>1</xdr:col>
      <xdr:colOff>305921</xdr:colOff>
      <xdr:row>177</xdr:row>
      <xdr:rowOff>127186</xdr:rowOff>
    </xdr:from>
    <xdr:to>
      <xdr:col>1</xdr:col>
      <xdr:colOff>1051560</xdr:colOff>
      <xdr:row>178</xdr:row>
      <xdr:rowOff>168857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501" y="44879446"/>
          <a:ext cx="745639" cy="498871"/>
        </a:xfrm>
        <a:prstGeom prst="rect">
          <a:avLst/>
        </a:prstGeom>
      </xdr:spPr>
    </xdr:pic>
    <xdr:clientData/>
  </xdr:twoCellAnchor>
  <xdr:twoCellAnchor editAs="oneCell">
    <xdr:from>
      <xdr:col>1</xdr:col>
      <xdr:colOff>347644</xdr:colOff>
      <xdr:row>179</xdr:row>
      <xdr:rowOff>158115</xdr:rowOff>
    </xdr:from>
    <xdr:to>
      <xdr:col>1</xdr:col>
      <xdr:colOff>891540</xdr:colOff>
      <xdr:row>182</xdr:row>
      <xdr:rowOff>49134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224" y="45039915"/>
          <a:ext cx="543896" cy="645399"/>
        </a:xfrm>
        <a:prstGeom prst="rect">
          <a:avLst/>
        </a:prstGeom>
      </xdr:spPr>
    </xdr:pic>
    <xdr:clientData/>
  </xdr:twoCellAnchor>
  <xdr:oneCellAnchor>
    <xdr:from>
      <xdr:col>1</xdr:col>
      <xdr:colOff>255270</xdr:colOff>
      <xdr:row>76</xdr:row>
      <xdr:rowOff>185881</xdr:rowOff>
    </xdr:from>
    <xdr:ext cx="745502" cy="678990"/>
    <xdr:pic>
      <xdr:nvPicPr>
        <xdr:cNvPr id="105" name="Рисунок 11" descr="railUpper-1pre.jpg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l="17855" t="6690" r="19921" b="24244"/>
        <a:stretch/>
      </xdr:blipFill>
      <xdr:spPr bwMode="auto">
        <a:xfrm>
          <a:off x="323850" y="20386501"/>
          <a:ext cx="745502" cy="6789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404060</xdr:colOff>
      <xdr:row>84</xdr:row>
      <xdr:rowOff>22861</xdr:rowOff>
    </xdr:from>
    <xdr:ext cx="342700" cy="329518"/>
    <xdr:pic>
      <xdr:nvPicPr>
        <xdr:cNvPr id="106" name="Рисунок 18" descr="profileFront-1pre.jpg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print"/>
        <a:srcRect l="13239" t="3660" r="10675" b="26387"/>
        <a:stretch/>
      </xdr:blipFill>
      <xdr:spPr bwMode="auto">
        <a:xfrm>
          <a:off x="472640" y="16703041"/>
          <a:ext cx="342700" cy="3295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367534</xdr:colOff>
      <xdr:row>183</xdr:row>
      <xdr:rowOff>91308</xdr:rowOff>
    </xdr:from>
    <xdr:ext cx="399096" cy="344674"/>
    <xdr:pic>
      <xdr:nvPicPr>
        <xdr:cNvPr id="98" name="Рисунок 97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209" y="38534208"/>
          <a:ext cx="399096" cy="344674"/>
        </a:xfrm>
        <a:prstGeom prst="rect">
          <a:avLst/>
        </a:prstGeom>
      </xdr:spPr>
    </xdr:pic>
    <xdr:clientData/>
  </xdr:oneCellAnchor>
  <xdr:twoCellAnchor editAs="oneCell">
    <xdr:from>
      <xdr:col>1</xdr:col>
      <xdr:colOff>335280</xdr:colOff>
      <xdr:row>106</xdr:row>
      <xdr:rowOff>129540</xdr:rowOff>
    </xdr:from>
    <xdr:to>
      <xdr:col>1</xdr:col>
      <xdr:colOff>928994</xdr:colOff>
      <xdr:row>109</xdr:row>
      <xdr:rowOff>121920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860" y="21625560"/>
          <a:ext cx="593714" cy="746760"/>
        </a:xfrm>
        <a:prstGeom prst="rect">
          <a:avLst/>
        </a:prstGeom>
      </xdr:spPr>
    </xdr:pic>
    <xdr:clientData/>
  </xdr:twoCellAnchor>
  <xdr:twoCellAnchor editAs="oneCell">
    <xdr:from>
      <xdr:col>1</xdr:col>
      <xdr:colOff>263159</xdr:colOff>
      <xdr:row>123</xdr:row>
      <xdr:rowOff>83820</xdr:rowOff>
    </xdr:from>
    <xdr:to>
      <xdr:col>1</xdr:col>
      <xdr:colOff>979170</xdr:colOff>
      <xdr:row>126</xdr:row>
      <xdr:rowOff>76200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739" y="25542240"/>
          <a:ext cx="716011" cy="746760"/>
        </a:xfrm>
        <a:prstGeom prst="rect">
          <a:avLst/>
        </a:prstGeom>
      </xdr:spPr>
    </xdr:pic>
    <xdr:clientData/>
  </xdr:twoCellAnchor>
  <xdr:oneCellAnchor>
    <xdr:from>
      <xdr:col>1</xdr:col>
      <xdr:colOff>335280</xdr:colOff>
      <xdr:row>89</xdr:row>
      <xdr:rowOff>83820</xdr:rowOff>
    </xdr:from>
    <xdr:ext cx="624840" cy="736419"/>
    <xdr:pic>
      <xdr:nvPicPr>
        <xdr:cNvPr id="59" name="Рисунок 16" descr="frameDividing-1pre.jpg"/>
        <xdr:cNvPicPr>
          <a:picLocks noChangeAspect="1"/>
        </xdr:cNvPicPr>
      </xdr:nvPicPr>
      <xdr:blipFill rotWithShape="1">
        <a:blip xmlns:r="http://schemas.openxmlformats.org/officeDocument/2006/relationships" r:embed="rId47" cstate="print"/>
        <a:srcRect l="17854" t="3500" r="17617" b="23496"/>
        <a:stretch/>
      </xdr:blipFill>
      <xdr:spPr bwMode="auto">
        <a:xfrm>
          <a:off x="403860" y="23682960"/>
          <a:ext cx="624840" cy="7364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409575</xdr:colOff>
      <xdr:row>164</xdr:row>
      <xdr:rowOff>85725</xdr:rowOff>
    </xdr:from>
    <xdr:to>
      <xdr:col>1</xdr:col>
      <xdr:colOff>864436</xdr:colOff>
      <xdr:row>165</xdr:row>
      <xdr:rowOff>225423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2455" y="36966525"/>
          <a:ext cx="454861" cy="406398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116</xdr:row>
      <xdr:rowOff>53340</xdr:rowOff>
    </xdr:from>
    <xdr:to>
      <xdr:col>1</xdr:col>
      <xdr:colOff>377058</xdr:colOff>
      <xdr:row>116</xdr:row>
      <xdr:rowOff>420138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" y="24300180"/>
          <a:ext cx="262758" cy="366798"/>
        </a:xfrm>
        <a:prstGeom prst="rect">
          <a:avLst/>
        </a:prstGeom>
      </xdr:spPr>
    </xdr:pic>
    <xdr:clientData/>
  </xdr:twoCellAnchor>
  <xdr:twoCellAnchor editAs="oneCell">
    <xdr:from>
      <xdr:col>1</xdr:col>
      <xdr:colOff>259081</xdr:colOff>
      <xdr:row>127</xdr:row>
      <xdr:rowOff>15242</xdr:rowOff>
    </xdr:from>
    <xdr:to>
      <xdr:col>1</xdr:col>
      <xdr:colOff>822960</xdr:colOff>
      <xdr:row>127</xdr:row>
      <xdr:rowOff>445282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327661" y="26479502"/>
          <a:ext cx="563879" cy="430040"/>
        </a:xfrm>
        <a:prstGeom prst="rect">
          <a:avLst/>
        </a:prstGeom>
      </xdr:spPr>
    </xdr:pic>
    <xdr:clientData/>
  </xdr:twoCellAnchor>
  <xdr:twoCellAnchor editAs="oneCell">
    <xdr:from>
      <xdr:col>1</xdr:col>
      <xdr:colOff>335281</xdr:colOff>
      <xdr:row>128</xdr:row>
      <xdr:rowOff>38101</xdr:rowOff>
    </xdr:from>
    <xdr:to>
      <xdr:col>1</xdr:col>
      <xdr:colOff>853440</xdr:colOff>
      <xdr:row>128</xdr:row>
      <xdr:rowOff>432977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403861" y="27005281"/>
          <a:ext cx="518159" cy="394876"/>
        </a:xfrm>
        <a:prstGeom prst="rect">
          <a:avLst/>
        </a:prstGeom>
      </xdr:spPr>
    </xdr:pic>
    <xdr:clientData/>
  </xdr:twoCellAnchor>
  <xdr:twoCellAnchor editAs="oneCell">
    <xdr:from>
      <xdr:col>1</xdr:col>
      <xdr:colOff>320041</xdr:colOff>
      <xdr:row>129</xdr:row>
      <xdr:rowOff>22860</xdr:rowOff>
    </xdr:from>
    <xdr:to>
      <xdr:col>1</xdr:col>
      <xdr:colOff>914400</xdr:colOff>
      <xdr:row>129</xdr:row>
      <xdr:rowOff>461416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388621" y="27492960"/>
          <a:ext cx="594359" cy="438556"/>
        </a:xfrm>
        <a:prstGeom prst="rect">
          <a:avLst/>
        </a:prstGeom>
      </xdr:spPr>
    </xdr:pic>
    <xdr:clientData/>
  </xdr:twoCellAnchor>
  <xdr:twoCellAnchor editAs="oneCell">
    <xdr:from>
      <xdr:col>1</xdr:col>
      <xdr:colOff>297180</xdr:colOff>
      <xdr:row>117</xdr:row>
      <xdr:rowOff>152400</xdr:rowOff>
    </xdr:from>
    <xdr:to>
      <xdr:col>1</xdr:col>
      <xdr:colOff>876300</xdr:colOff>
      <xdr:row>119</xdr:row>
      <xdr:rowOff>92950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365760" y="24856440"/>
          <a:ext cx="579120" cy="44347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114301</xdr:colOff>
      <xdr:row>166</xdr:row>
      <xdr:rowOff>137160</xdr:rowOff>
    </xdr:from>
    <xdr:to>
      <xdr:col>1</xdr:col>
      <xdr:colOff>1104901</xdr:colOff>
      <xdr:row>168</xdr:row>
      <xdr:rowOff>149605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82881" y="41658540"/>
          <a:ext cx="990600" cy="515365"/>
        </a:xfrm>
        <a:prstGeom prst="rect">
          <a:avLst/>
        </a:prstGeom>
      </xdr:spPr>
    </xdr:pic>
    <xdr:clientData/>
  </xdr:twoCellAnchor>
  <xdr:oneCellAnchor>
    <xdr:from>
      <xdr:col>1</xdr:col>
      <xdr:colOff>554651</xdr:colOff>
      <xdr:row>4</xdr:row>
      <xdr:rowOff>0</xdr:rowOff>
    </xdr:from>
    <xdr:ext cx="319626" cy="326"/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100-00001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9991" y="731520"/>
          <a:ext cx="319626" cy="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76200</xdr:colOff>
      <xdr:row>184</xdr:row>
      <xdr:rowOff>220980</xdr:rowOff>
    </xdr:from>
    <xdr:to>
      <xdr:col>1</xdr:col>
      <xdr:colOff>1194423</xdr:colOff>
      <xdr:row>187</xdr:row>
      <xdr:rowOff>7619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44780" y="52829460"/>
          <a:ext cx="1118223" cy="6095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theme="1"/>
    <pageSetUpPr fitToPage="1"/>
  </sheetPr>
  <dimension ref="A1:CK84"/>
  <sheetViews>
    <sheetView topLeftCell="A7" zoomScale="70" zoomScaleNormal="70" zoomScalePageLayoutView="125" workbookViewId="0">
      <selection activeCell="E3" sqref="E3:H3"/>
    </sheetView>
  </sheetViews>
  <sheetFormatPr defaultColWidth="8.88671875" defaultRowHeight="14.4" x14ac:dyDescent="0.3"/>
  <cols>
    <col min="1" max="1" width="1.77734375" style="1" customWidth="1"/>
    <col min="2" max="3" width="45.77734375" style="1" customWidth="1"/>
    <col min="4" max="8" width="14.77734375" style="1" customWidth="1"/>
    <col min="9" max="9" width="1.77734375" style="1" customWidth="1"/>
    <col min="10" max="10" width="35.77734375" style="1" customWidth="1"/>
    <col min="11" max="15" width="14.77734375" style="1" customWidth="1"/>
    <col min="16" max="16" width="1.77734375" style="1" customWidth="1"/>
    <col min="17" max="17" width="14.77734375" style="1" hidden="1" customWidth="1"/>
    <col min="18" max="18" width="14.77734375" style="1" customWidth="1"/>
    <col min="19" max="19" width="1.77734375" style="1" customWidth="1"/>
    <col min="20" max="20" width="24.77734375" style="1" customWidth="1"/>
    <col min="21" max="33" width="11.77734375" style="1" customWidth="1"/>
    <col min="34" max="34" width="14.77734375" style="1" customWidth="1"/>
    <col min="35" max="46" width="5.77734375" style="1" hidden="1" customWidth="1"/>
    <col min="47" max="47" width="13.88671875" style="1" hidden="1" customWidth="1"/>
    <col min="48" max="49" width="12.77734375" style="1" hidden="1" customWidth="1"/>
    <col min="50" max="53" width="10.109375" style="54" hidden="1" customWidth="1"/>
    <col min="54" max="54" width="13.5546875" style="54" hidden="1" customWidth="1"/>
    <col min="55" max="55" width="12.77734375" style="54" hidden="1" customWidth="1"/>
    <col min="56" max="63" width="10.109375" style="54" hidden="1" customWidth="1"/>
    <col min="64" max="64" width="12.77734375" style="54" hidden="1" customWidth="1"/>
    <col min="65" max="69" width="8.88671875" style="1" hidden="1" customWidth="1"/>
    <col min="70" max="72" width="16.44140625" style="1" hidden="1" customWidth="1"/>
    <col min="73" max="73" width="13.5546875" style="1" hidden="1" customWidth="1"/>
    <col min="74" max="74" width="29.88671875" style="1" hidden="1" customWidth="1"/>
    <col min="75" max="80" width="8.88671875" style="1" hidden="1" customWidth="1"/>
    <col min="81" max="81" width="17.44140625" style="1" hidden="1" customWidth="1"/>
    <col min="82" max="82" width="24.6640625" style="1" hidden="1" customWidth="1"/>
    <col min="83" max="83" width="18.5546875" style="1" hidden="1" customWidth="1"/>
    <col min="84" max="89" width="8.88671875" style="1" hidden="1" customWidth="1"/>
    <col min="90" max="16384" width="8.88671875" style="1"/>
  </cols>
  <sheetData>
    <row r="1" spans="2:88" ht="25.05" customHeight="1" x14ac:dyDescent="0.3">
      <c r="B1" s="524" t="s">
        <v>104</v>
      </c>
      <c r="C1" s="524"/>
      <c r="D1" s="524"/>
      <c r="E1" s="524"/>
      <c r="F1" s="524"/>
      <c r="G1" s="524"/>
      <c r="H1" s="524"/>
      <c r="I1" s="149"/>
      <c r="J1" s="524" t="s">
        <v>105</v>
      </c>
      <c r="K1" s="524"/>
      <c r="L1" s="524"/>
      <c r="M1" s="524"/>
      <c r="N1" s="524"/>
      <c r="O1" s="524"/>
      <c r="P1" s="244"/>
      <c r="Q1" s="244"/>
      <c r="R1" s="203"/>
      <c r="S1" s="203"/>
      <c r="T1" s="203"/>
    </row>
    <row r="2" spans="2:88" ht="25.05" customHeight="1" thickBot="1" x14ac:dyDescent="0.35"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</row>
    <row r="3" spans="2:88" s="4" customFormat="1" ht="25.05" customHeight="1" thickBot="1" x14ac:dyDescent="0.35">
      <c r="B3" s="527" t="s">
        <v>472</v>
      </c>
      <c r="C3" s="528"/>
      <c r="D3" s="528"/>
      <c r="E3" s="535">
        <v>2600</v>
      </c>
      <c r="F3" s="535"/>
      <c r="G3" s="535"/>
      <c r="H3" s="536"/>
      <c r="J3" s="550" t="s">
        <v>270</v>
      </c>
      <c r="K3" s="551"/>
      <c r="L3" s="3"/>
      <c r="M3" s="3"/>
      <c r="N3" s="437"/>
      <c r="O3" s="437"/>
      <c r="P3" s="326"/>
      <c r="Q3" s="326"/>
      <c r="R3" s="3"/>
      <c r="S3" s="3"/>
      <c r="T3" s="3"/>
      <c r="W3" s="492" t="s">
        <v>424</v>
      </c>
      <c r="X3" s="493"/>
      <c r="Y3" s="494"/>
      <c r="Z3" s="495" t="s">
        <v>425</v>
      </c>
      <c r="AA3" s="495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BA3" s="3"/>
      <c r="BB3" s="3"/>
      <c r="BC3" s="3"/>
      <c r="BD3" s="3"/>
      <c r="BE3" s="241" t="s">
        <v>425</v>
      </c>
      <c r="BF3" s="3"/>
      <c r="BG3" s="3"/>
      <c r="BH3" s="3"/>
      <c r="BI3" s="3"/>
      <c r="BJ3" s="3"/>
      <c r="BK3" s="3"/>
      <c r="BL3" s="3"/>
    </row>
    <row r="4" spans="2:88" ht="25.05" customHeight="1" x14ac:dyDescent="0.3">
      <c r="B4" s="529" t="s">
        <v>120</v>
      </c>
      <c r="C4" s="530"/>
      <c r="D4" s="530"/>
      <c r="E4" s="537">
        <v>3200</v>
      </c>
      <c r="F4" s="537"/>
      <c r="G4" s="537"/>
      <c r="H4" s="538"/>
      <c r="J4" s="21" t="s">
        <v>20</v>
      </c>
      <c r="K4" s="291">
        <f>IF(OR(E8=BV6,E8=BV7),E3+100-60,E3-60)</f>
        <v>2540</v>
      </c>
      <c r="L4" s="6"/>
      <c r="M4" s="6"/>
      <c r="P4" s="6"/>
      <c r="Q4" s="6"/>
      <c r="R4" s="475" t="s">
        <v>460</v>
      </c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</row>
    <row r="5" spans="2:88" ht="25.05" customHeight="1" thickBot="1" x14ac:dyDescent="0.35">
      <c r="B5" s="529" t="s">
        <v>449</v>
      </c>
      <c r="C5" s="530"/>
      <c r="D5" s="530"/>
      <c r="E5" s="514">
        <v>0</v>
      </c>
      <c r="F5" s="514"/>
      <c r="G5" s="514"/>
      <c r="H5" s="515"/>
      <c r="J5" s="150" t="s">
        <v>21</v>
      </c>
      <c r="K5" s="292">
        <f>ROUNDUP(IF(E8=BV6,E4+39,
IF(AND(OR(E8=BV7,E8=BV8),OR(E13=BV36,E13=BV37)),E4/2+39,
IF(AND(OR(E8=BV7,E8=BV8),OR(E13=BV38,E13=BV39)),(E4-10)/2+39,
IF(AND(E8=BV9,OR(E13=BV36,E13=BV37)),(E4+39)/2,
IF(AND(E8=BV9,OR(E13=BV38,E13=BV39)),(E4-10+39)/2,
IF(AND(OR(E8=BV10,E8=BV14),OR(E13=BV36,E13=BV37)),(E4+39+39)/4,
IF(AND(OR(E8=BV10,E8=BV14),OR(E13=BV38,E13=BV39)),(E4-10+39+39)/4,
IF(AND(E8=BV11,OR(E13=BV36,E13=BV37),E10&gt;1),(E4+53+(E10-1)*39)/E10,
IF(AND(E8=BV11,OR(E13=BV38,E13=BV39),E10&gt;1),(E4-5+53+(E10-1)*39)/E10,
IF(AND(E8=BV12,OR(E13=BV36,E13=BV37),E10&gt;1),(E4+(E10-1)*39)/E10,
IF(AND(E8=BV12,OR(E13=BV38,E13=BV39),E10&gt;1),(E4-10+(E10-1)*39)/E10,
IF(AND(E8=BV13,OR(E13=BV36,E13=BV37),E10&gt;1),(E4+39+39)/3,
IF(AND(E8=BV13,OR(E13=BV38,E13=BV39),E10&gt;1),(E4-10+39+39)/3,0))))))))))))),0)</f>
        <v>1090</v>
      </c>
      <c r="L5" s="5"/>
      <c r="M5" s="5"/>
      <c r="N5" s="369"/>
      <c r="O5" s="369"/>
      <c r="P5" s="327"/>
      <c r="Q5" s="327"/>
      <c r="R5" s="476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141" t="s">
        <v>263</v>
      </c>
      <c r="BA5" s="141"/>
      <c r="BB5" s="141"/>
      <c r="BC5" s="185">
        <v>4950</v>
      </c>
      <c r="BD5" s="185"/>
      <c r="BE5" s="185"/>
      <c r="BF5" s="185"/>
      <c r="BG5" s="185"/>
      <c r="BH5" s="185"/>
      <c r="BI5" s="185"/>
      <c r="BJ5" s="185"/>
      <c r="BK5" s="185"/>
      <c r="BL5" s="185"/>
      <c r="BM5" s="186"/>
      <c r="BN5" s="186"/>
      <c r="BO5" s="186"/>
      <c r="BP5" s="186"/>
      <c r="BQ5" s="186"/>
      <c r="BR5" s="186"/>
      <c r="BS5" s="6"/>
      <c r="BT5" s="6"/>
      <c r="BU5" s="6"/>
    </row>
    <row r="6" spans="2:88" ht="25.05" customHeight="1" thickBot="1" x14ac:dyDescent="0.35">
      <c r="B6" s="529" t="s">
        <v>243</v>
      </c>
      <c r="C6" s="530"/>
      <c r="D6" s="530"/>
      <c r="E6" s="514" t="s">
        <v>459</v>
      </c>
      <c r="F6" s="514"/>
      <c r="G6" s="514"/>
      <c r="H6" s="515"/>
      <c r="J6" s="552"/>
      <c r="K6" s="552"/>
      <c r="L6" s="552"/>
      <c r="M6" s="552"/>
      <c r="N6" s="324"/>
      <c r="O6" s="324"/>
      <c r="P6" s="324"/>
      <c r="Q6" s="324"/>
      <c r="R6" s="324"/>
      <c r="S6" s="324"/>
      <c r="T6" s="324"/>
      <c r="U6" s="324"/>
      <c r="V6" s="324"/>
      <c r="W6" s="324"/>
      <c r="X6" s="324"/>
      <c r="Y6" s="324"/>
      <c r="Z6" s="324"/>
      <c r="AA6" s="324"/>
      <c r="AB6" s="324"/>
      <c r="AC6" s="324"/>
      <c r="AD6" s="324"/>
      <c r="AE6" s="324"/>
      <c r="AF6" s="324"/>
      <c r="AG6" s="324"/>
      <c r="AH6" s="324"/>
      <c r="AI6" s="402"/>
      <c r="AJ6" s="402"/>
      <c r="AK6" s="402"/>
      <c r="AL6" s="402"/>
      <c r="AM6" s="402"/>
      <c r="AN6" s="402"/>
      <c r="AO6" s="402"/>
      <c r="AP6" s="402"/>
      <c r="AQ6" s="402"/>
      <c r="AR6" s="402"/>
      <c r="AS6" s="402"/>
      <c r="AT6" s="402"/>
      <c r="AU6" s="402"/>
      <c r="AV6" s="402"/>
      <c r="AW6" s="402"/>
      <c r="AX6" s="3"/>
      <c r="AY6" s="3"/>
      <c r="AZ6" s="141" t="s">
        <v>264</v>
      </c>
      <c r="BA6" s="141"/>
      <c r="BB6" s="141"/>
      <c r="BC6" s="141">
        <v>5025</v>
      </c>
      <c r="BD6" s="185"/>
      <c r="BE6" s="141"/>
      <c r="BF6" s="141"/>
      <c r="BG6" s="141"/>
      <c r="BH6" s="141"/>
      <c r="BI6" s="141"/>
      <c r="BJ6" s="141"/>
      <c r="BK6" s="141"/>
      <c r="BL6" s="141"/>
      <c r="BM6" s="186"/>
      <c r="BN6" s="186"/>
      <c r="BO6" s="186"/>
      <c r="BP6" s="186"/>
      <c r="BQ6" s="186"/>
      <c r="BR6" s="186"/>
      <c r="BS6" s="6"/>
      <c r="BT6" s="6"/>
      <c r="BU6" s="6"/>
      <c r="BV6" s="51" t="s">
        <v>95</v>
      </c>
      <c r="CD6" s="1" t="s">
        <v>458</v>
      </c>
      <c r="CE6" s="1" t="s">
        <v>244</v>
      </c>
      <c r="CF6" s="1">
        <f>IF(E6=CD6,9,8)</f>
        <v>8</v>
      </c>
      <c r="CJ6" s="48">
        <v>0</v>
      </c>
    </row>
    <row r="7" spans="2:88" ht="25.05" customHeight="1" x14ac:dyDescent="0.3">
      <c r="B7" s="529" t="s">
        <v>122</v>
      </c>
      <c r="C7" s="530"/>
      <c r="D7" s="530"/>
      <c r="E7" s="514" t="s">
        <v>234</v>
      </c>
      <c r="F7" s="514"/>
      <c r="G7" s="514"/>
      <c r="H7" s="515"/>
      <c r="J7" s="480" t="s">
        <v>182</v>
      </c>
      <c r="K7" s="481"/>
      <c r="L7" s="481"/>
      <c r="M7" s="481"/>
      <c r="N7" s="481"/>
      <c r="O7" s="482"/>
      <c r="P7" s="324"/>
      <c r="Q7" s="324"/>
      <c r="R7" s="258"/>
      <c r="S7" s="324"/>
      <c r="T7" s="401"/>
      <c r="U7" s="498" t="s">
        <v>100</v>
      </c>
      <c r="V7" s="498"/>
      <c r="W7" s="498"/>
      <c r="X7" s="498"/>
      <c r="Y7" s="498"/>
      <c r="Z7" s="498"/>
      <c r="AA7" s="498"/>
      <c r="AB7" s="498"/>
      <c r="AC7" s="498"/>
      <c r="AD7" s="498"/>
      <c r="AE7" s="498"/>
      <c r="AF7" s="498"/>
      <c r="AG7" s="498"/>
      <c r="AH7" s="499"/>
      <c r="AI7" s="280"/>
      <c r="AJ7" s="280"/>
      <c r="AK7" s="280"/>
      <c r="AL7" s="280"/>
      <c r="AM7" s="280"/>
      <c r="AN7" s="280"/>
      <c r="AO7" s="280"/>
      <c r="AP7" s="280"/>
      <c r="AQ7" s="280"/>
      <c r="AR7" s="280"/>
      <c r="AS7" s="280"/>
      <c r="AT7" s="280"/>
      <c r="AU7" s="280"/>
      <c r="AV7" s="280"/>
      <c r="AW7" s="280"/>
      <c r="AX7" s="3" t="s">
        <v>272</v>
      </c>
      <c r="AY7" s="3"/>
      <c r="AZ7" s="185" t="s">
        <v>265</v>
      </c>
      <c r="BA7" s="185"/>
      <c r="BB7" s="185"/>
      <c r="BC7" s="141">
        <v>5350</v>
      </c>
      <c r="BD7" s="185"/>
      <c r="BE7" s="141"/>
      <c r="BF7" s="141"/>
      <c r="BG7" s="141"/>
      <c r="BH7" s="141"/>
      <c r="BI7" s="141"/>
      <c r="BJ7" s="141"/>
      <c r="BK7" s="141"/>
      <c r="BL7" s="141"/>
      <c r="BM7" s="186"/>
      <c r="BN7" s="186"/>
      <c r="BO7" s="186"/>
      <c r="BP7" s="186"/>
      <c r="BQ7" s="186"/>
      <c r="BR7" s="186"/>
      <c r="BS7" s="6"/>
      <c r="BT7" s="6"/>
      <c r="BU7" s="6"/>
      <c r="BV7" s="51" t="s">
        <v>96</v>
      </c>
      <c r="CD7" s="1" t="s">
        <v>459</v>
      </c>
      <c r="CE7" s="1" t="s">
        <v>260</v>
      </c>
      <c r="CJ7" s="48">
        <v>1</v>
      </c>
    </row>
    <row r="8" spans="2:88" ht="25.05" customHeight="1" x14ac:dyDescent="0.3">
      <c r="B8" s="531" t="s">
        <v>123</v>
      </c>
      <c r="C8" s="532"/>
      <c r="D8" s="532"/>
      <c r="E8" s="539" t="s">
        <v>130</v>
      </c>
      <c r="F8" s="539"/>
      <c r="G8" s="539"/>
      <c r="H8" s="540"/>
      <c r="J8" s="399" t="s">
        <v>0</v>
      </c>
      <c r="K8" s="400" t="s">
        <v>1</v>
      </c>
      <c r="L8" s="400" t="s">
        <v>7</v>
      </c>
      <c r="M8" s="205" t="s">
        <v>274</v>
      </c>
      <c r="N8" s="205" t="s">
        <v>101</v>
      </c>
      <c r="O8" s="239" t="s">
        <v>23</v>
      </c>
      <c r="P8" s="140"/>
      <c r="Q8" s="140"/>
      <c r="R8" s="259" t="s">
        <v>24</v>
      </c>
      <c r="S8" s="140"/>
      <c r="T8" s="319"/>
      <c r="U8" s="96">
        <v>1000</v>
      </c>
      <c r="V8" s="96">
        <v>1250</v>
      </c>
      <c r="W8" s="96">
        <v>1800</v>
      </c>
      <c r="X8" s="96">
        <v>2000</v>
      </c>
      <c r="Y8" s="96">
        <v>2500</v>
      </c>
      <c r="Z8" s="96">
        <v>2700</v>
      </c>
      <c r="AA8" s="96">
        <v>3000</v>
      </c>
      <c r="AB8" s="96">
        <v>3600</v>
      </c>
      <c r="AC8" s="96">
        <v>3750</v>
      </c>
      <c r="AD8" s="96">
        <v>4000</v>
      </c>
      <c r="AE8" s="96">
        <v>5000</v>
      </c>
      <c r="AF8" s="96">
        <v>5400</v>
      </c>
      <c r="AG8" s="205" t="s">
        <v>101</v>
      </c>
      <c r="AH8" s="52" t="s">
        <v>24</v>
      </c>
      <c r="AI8" s="303"/>
      <c r="AJ8" s="303"/>
      <c r="AK8" s="303"/>
      <c r="AL8" s="303"/>
      <c r="AM8" s="303"/>
      <c r="AN8" s="303"/>
      <c r="AO8" s="303"/>
      <c r="AP8" s="303"/>
      <c r="AQ8" s="303"/>
      <c r="AR8" s="303"/>
      <c r="AS8" s="303"/>
      <c r="AT8" s="303"/>
      <c r="AU8" s="303"/>
      <c r="AV8" s="303"/>
      <c r="AW8" s="303"/>
      <c r="AX8" s="53"/>
      <c r="AY8" s="53"/>
      <c r="AZ8" s="96">
        <v>1000</v>
      </c>
      <c r="BA8" s="96">
        <v>1250</v>
      </c>
      <c r="BB8" s="96">
        <v>1800</v>
      </c>
      <c r="BC8" s="96">
        <v>2000</v>
      </c>
      <c r="BD8" s="96">
        <v>2500</v>
      </c>
      <c r="BE8" s="96">
        <v>2700</v>
      </c>
      <c r="BF8" s="96">
        <v>3000</v>
      </c>
      <c r="BG8" s="96">
        <v>3600</v>
      </c>
      <c r="BH8" s="96">
        <v>3750</v>
      </c>
      <c r="BI8" s="96">
        <v>4000</v>
      </c>
      <c r="BJ8" s="96">
        <v>5000</v>
      </c>
      <c r="BK8" s="142">
        <v>5400</v>
      </c>
      <c r="BL8" s="187"/>
      <c r="BM8" s="186"/>
      <c r="BN8" s="186"/>
      <c r="BO8" s="186"/>
      <c r="BP8" s="186"/>
      <c r="BQ8" s="186"/>
      <c r="BR8" s="186"/>
      <c r="BS8" s="6"/>
      <c r="BT8" s="6" t="s">
        <v>128</v>
      </c>
      <c r="BU8" s="6"/>
      <c r="BV8" s="1" t="s">
        <v>474</v>
      </c>
      <c r="CJ8" s="48">
        <v>2</v>
      </c>
    </row>
    <row r="9" spans="2:88" ht="25.05" customHeight="1" x14ac:dyDescent="0.35">
      <c r="B9" s="531" t="s">
        <v>124</v>
      </c>
      <c r="C9" s="532"/>
      <c r="D9" s="532"/>
      <c r="E9" s="541">
        <f>IF(OR(E8=BV9,E8=BV10,E8=BV7,E8=BV8),2,IF(OR(E8=BV11,E8=BV12),E10,IF(E8=BV13,3,IF(E8=BV14,4,1))))</f>
        <v>3</v>
      </c>
      <c r="F9" s="541"/>
      <c r="G9" s="541"/>
      <c r="H9" s="542"/>
      <c r="J9" s="22" t="s">
        <v>2</v>
      </c>
      <c r="K9" s="238" t="s">
        <v>190</v>
      </c>
      <c r="L9" s="403">
        <f>K4</f>
        <v>2540</v>
      </c>
      <c r="M9" s="409">
        <f>IF(E8=BV6,2,
IF(OR(E8=BV7,E8=BV8,E8=BV9,E8=BV10),4,
IF(E8=BV13,6,
IF(OR(E8=BV11,E8=BV12),E10*2,
IF(E8=BV14,8,0)))))</f>
        <v>6</v>
      </c>
      <c r="N9" s="403"/>
      <c r="O9" s="339">
        <f>IF(L9&gt;2650,M9,M9/2)</f>
        <v>3</v>
      </c>
      <c r="P9" s="247"/>
      <c r="Q9" s="247"/>
      <c r="R9" s="338">
        <f>O9*BT9</f>
        <v>16232.939999999999</v>
      </c>
      <c r="S9" s="255"/>
      <c r="T9" s="410" t="str">
        <f>J9</f>
        <v>вертикальный профиль</v>
      </c>
      <c r="U9" s="228">
        <f t="shared" ref="U9:AF11" si="0">IF($Z$3=$CE$21,AZ9,IF($Z$3=$CE$27,AZ33,IF($Z$3=$CE$28,AZ44,AZ21)))</f>
        <v>0</v>
      </c>
      <c r="V9" s="228">
        <f t="shared" si="0"/>
        <v>0</v>
      </c>
      <c r="W9" s="228">
        <f t="shared" si="0"/>
        <v>0</v>
      </c>
      <c r="X9" s="228">
        <f t="shared" si="0"/>
        <v>0</v>
      </c>
      <c r="Y9" s="228">
        <f t="shared" si="0"/>
        <v>0</v>
      </c>
      <c r="Z9" s="228">
        <f t="shared" si="0"/>
        <v>0</v>
      </c>
      <c r="AA9" s="228">
        <f t="shared" si="0"/>
        <v>0</v>
      </c>
      <c r="AB9" s="228">
        <f t="shared" si="0"/>
        <v>0</v>
      </c>
      <c r="AC9" s="228">
        <f t="shared" si="0"/>
        <v>0</v>
      </c>
      <c r="AD9" s="228">
        <f t="shared" si="0"/>
        <v>0</v>
      </c>
      <c r="AE9" s="228">
        <f t="shared" si="0"/>
        <v>0</v>
      </c>
      <c r="AF9" s="228">
        <f t="shared" si="0"/>
        <v>3</v>
      </c>
      <c r="AG9" s="130"/>
      <c r="AH9" s="229">
        <f>R9</f>
        <v>16232.939999999999</v>
      </c>
      <c r="AI9" s="255"/>
      <c r="AJ9" s="255"/>
      <c r="AK9" s="255"/>
      <c r="AL9" s="255"/>
      <c r="AM9" s="255"/>
      <c r="AN9" s="255"/>
      <c r="AO9" s="255"/>
      <c r="AP9" s="255"/>
      <c r="AQ9" s="255"/>
      <c r="AR9" s="255"/>
      <c r="AS9" s="255"/>
      <c r="AT9" s="255"/>
      <c r="AU9" s="255"/>
      <c r="AV9" s="255"/>
      <c r="AW9" s="255"/>
      <c r="AX9" s="362">
        <v>0.69</v>
      </c>
      <c r="AY9" s="3">
        <f>AX9*L9*M9/1000</f>
        <v>10.515599999999999</v>
      </c>
      <c r="AZ9" s="141">
        <v>0</v>
      </c>
      <c r="BA9" s="141">
        <v>0</v>
      </c>
      <c r="BB9" s="141">
        <v>0</v>
      </c>
      <c r="BC9" s="141">
        <v>0</v>
      </c>
      <c r="BD9" s="141">
        <v>0</v>
      </c>
      <c r="BE9" s="141">
        <v>0</v>
      </c>
      <c r="BF9" s="141">
        <v>0</v>
      </c>
      <c r="BG9" s="141">
        <v>0</v>
      </c>
      <c r="BH9" s="141">
        <v>0</v>
      </c>
      <c r="BI9" s="141">
        <v>0</v>
      </c>
      <c r="BJ9" s="141">
        <v>0</v>
      </c>
      <c r="BK9" s="315">
        <f>O9</f>
        <v>3</v>
      </c>
      <c r="BL9" s="141"/>
      <c r="BM9" s="188"/>
      <c r="BN9" s="188"/>
      <c r="BO9" s="188"/>
      <c r="BP9" s="188"/>
      <c r="BQ9" s="188"/>
      <c r="BR9" s="188"/>
      <c r="BS9" s="144"/>
      <c r="BT9" s="144">
        <f t="array" ref="BT9">INDEX(Цены!J:J,MATCH(J9&amp;$E$7,Цены!C:C&amp;Цены!G:G,0))</f>
        <v>5410.98</v>
      </c>
      <c r="BU9" s="144"/>
      <c r="BV9" s="51" t="s">
        <v>97</v>
      </c>
      <c r="CE9" s="1" t="s">
        <v>462</v>
      </c>
    </row>
    <row r="10" spans="2:88" ht="25.05" customHeight="1" x14ac:dyDescent="0.3">
      <c r="B10" s="533" t="s">
        <v>269</v>
      </c>
      <c r="C10" s="534"/>
      <c r="D10" s="534"/>
      <c r="E10" s="514">
        <v>3</v>
      </c>
      <c r="F10" s="514"/>
      <c r="G10" s="514"/>
      <c r="H10" s="515"/>
      <c r="J10" s="22" t="s">
        <v>4</v>
      </c>
      <c r="K10" s="235" t="s">
        <v>191</v>
      </c>
      <c r="L10" s="403">
        <f>IF(E8=BV6,E4+K5-52,
IF(OR(E8=BV7,E8=BV8),E4+K5*2-104,
IF(OR(E8=BV9,E8=BV10,E8=BV12,E8=BV13,E8=BV14),E4,
IF(E8=BV11,E4+K5-39,0))))</f>
        <v>3200</v>
      </c>
      <c r="M10" s="409">
        <f>IF(E8=BV9,2,
IF(E8=BV13,2,
IF(OR(E8=BV6,E8=BV7,E8=BV8,E8=BV10),1,
IF(OR(E8=BV11,E8=BV12),E10,
IF(E8=BV14,2,0)))))</f>
        <v>3</v>
      </c>
      <c r="N10" s="403">
        <f>L10*M10</f>
        <v>9600</v>
      </c>
      <c r="O10" s="397">
        <f>IF(E4&gt;BC5,0,BM10+IF(BL10&gt;0,1,0))</f>
        <v>3</v>
      </c>
      <c r="P10" s="247"/>
      <c r="Q10" s="247"/>
      <c r="R10" s="338">
        <f>O10*BT10</f>
        <v>17448.21</v>
      </c>
      <c r="S10" s="255"/>
      <c r="T10" s="410" t="str">
        <f t="shared" ref="T10:T13" si="1">J10</f>
        <v>направляющая верхняя</v>
      </c>
      <c r="U10" s="228">
        <f t="shared" si="0"/>
        <v>0</v>
      </c>
      <c r="V10" s="228">
        <f t="shared" si="0"/>
        <v>0</v>
      </c>
      <c r="W10" s="228">
        <f t="shared" si="0"/>
        <v>0</v>
      </c>
      <c r="X10" s="228">
        <f t="shared" si="0"/>
        <v>0</v>
      </c>
      <c r="Y10" s="228">
        <f t="shared" si="0"/>
        <v>0</v>
      </c>
      <c r="Z10" s="228">
        <f t="shared" si="0"/>
        <v>0</v>
      </c>
      <c r="AA10" s="228">
        <f t="shared" si="0"/>
        <v>0</v>
      </c>
      <c r="AB10" s="228">
        <f t="shared" si="0"/>
        <v>0</v>
      </c>
      <c r="AC10" s="228">
        <f t="shared" si="0"/>
        <v>0</v>
      </c>
      <c r="AD10" s="228">
        <f t="shared" si="0"/>
        <v>0</v>
      </c>
      <c r="AE10" s="228">
        <f t="shared" si="0"/>
        <v>3</v>
      </c>
      <c r="AF10" s="228">
        <f t="shared" si="0"/>
        <v>0</v>
      </c>
      <c r="AG10" s="398">
        <f>AU10</f>
        <v>15000</v>
      </c>
      <c r="AH10" s="396">
        <f>Y10*BT10*0.5+AE10*BT10</f>
        <v>17448.21</v>
      </c>
      <c r="AI10" s="442">
        <f>U10*$U$8</f>
        <v>0</v>
      </c>
      <c r="AJ10" s="442">
        <f>V10*$V$8</f>
        <v>0</v>
      </c>
      <c r="AK10" s="442">
        <f>W10*$W$8</f>
        <v>0</v>
      </c>
      <c r="AL10" s="442">
        <f>X10*$X$8</f>
        <v>0</v>
      </c>
      <c r="AM10" s="442">
        <f>Y10*$Y$8</f>
        <v>0</v>
      </c>
      <c r="AN10" s="442">
        <f>Z10*$Z$8</f>
        <v>0</v>
      </c>
      <c r="AO10" s="442">
        <f>AA10*$AA$8</f>
        <v>0</v>
      </c>
      <c r="AP10" s="442">
        <f>AB10*$AB$8</f>
        <v>0</v>
      </c>
      <c r="AQ10" s="442">
        <f>AC10*$AC$8</f>
        <v>0</v>
      </c>
      <c r="AR10" s="442">
        <f>AD10*$AD$8</f>
        <v>0</v>
      </c>
      <c r="AS10" s="442">
        <f>AE10*$AE$8</f>
        <v>15000</v>
      </c>
      <c r="AT10" s="442">
        <f>AF10*$AF$8</f>
        <v>0</v>
      </c>
      <c r="AU10" s="442">
        <f>SUM(AI10:AT10)</f>
        <v>15000</v>
      </c>
      <c r="AV10" s="442"/>
      <c r="AW10" s="442"/>
      <c r="AX10" s="3"/>
      <c r="AY10" s="3"/>
      <c r="AZ10" s="143">
        <v>0</v>
      </c>
      <c r="BA10" s="143">
        <v>0</v>
      </c>
      <c r="BB10" s="143">
        <v>0</v>
      </c>
      <c r="BC10" s="143">
        <v>0</v>
      </c>
      <c r="BD10" s="141">
        <f>IF(AND(BL10&gt;0,BL10&lt;=2500),1,0)</f>
        <v>0</v>
      </c>
      <c r="BE10" s="143">
        <v>0</v>
      </c>
      <c r="BF10" s="143">
        <v>0</v>
      </c>
      <c r="BG10" s="143">
        <v>0</v>
      </c>
      <c r="BH10" s="143">
        <v>0</v>
      </c>
      <c r="BI10" s="143">
        <v>0</v>
      </c>
      <c r="BJ10" s="141">
        <f>IF(AND(BL10&gt;2500,BL10&lt;=4950),BM10+1,BM10)</f>
        <v>3</v>
      </c>
      <c r="BK10" s="143">
        <v>0</v>
      </c>
      <c r="BL10" s="185">
        <f>$N$10-INT($BC$5/$L$10)*$L$10*$BM$10</f>
        <v>0</v>
      </c>
      <c r="BM10" s="141">
        <f>IF($E$4&gt;$BC$5,0,INT($M$10/INT($BC$5/$L$10)))</f>
        <v>3</v>
      </c>
      <c r="BN10" s="141"/>
      <c r="BO10" s="141"/>
      <c r="BP10" s="141"/>
      <c r="BQ10" s="141"/>
      <c r="BR10" s="141"/>
      <c r="BS10" s="3"/>
      <c r="BT10" s="144">
        <f t="array" ref="BT10">IFERROR(INDEX(Цены!J:J,MATCH(J10&amp;$E$7,Цены!C:C&amp;Цены!G:G,0)),Цены!J33)</f>
        <v>5816.07</v>
      </c>
      <c r="BU10" s="3"/>
      <c r="BV10" s="51" t="s">
        <v>157</v>
      </c>
      <c r="CE10" s="1" t="s">
        <v>460</v>
      </c>
    </row>
    <row r="11" spans="2:88" ht="25.05" customHeight="1" x14ac:dyDescent="0.3">
      <c r="B11" s="533" t="s">
        <v>252</v>
      </c>
      <c r="C11" s="534"/>
      <c r="D11" s="534"/>
      <c r="E11" s="512" t="s">
        <v>99</v>
      </c>
      <c r="F11" s="512"/>
      <c r="G11" s="512"/>
      <c r="H11" s="513"/>
      <c r="J11" s="407" t="s">
        <v>5</v>
      </c>
      <c r="K11" s="238" t="s">
        <v>192</v>
      </c>
      <c r="L11" s="337">
        <f>IF(OR(E8=BV6,E8=BV7,E8=BV8),38,0)</f>
        <v>0</v>
      </c>
      <c r="M11" s="409">
        <f>IF(OR(E8=BV6,E8=BV7,E8=BV8),2,0)</f>
        <v>0</v>
      </c>
      <c r="N11" s="543">
        <f>L12*M12+L11*M11</f>
        <v>6400</v>
      </c>
      <c r="O11" s="501">
        <f>IF(E4&gt;BC5,0,BM11+IF(BL11&gt;0,1,0))</f>
        <v>2</v>
      </c>
      <c r="P11" s="247"/>
      <c r="Q11" s="247"/>
      <c r="R11" s="483">
        <f>O11*BT11</f>
        <v>3785.9</v>
      </c>
      <c r="S11" s="255"/>
      <c r="T11" s="410" t="str">
        <f t="shared" si="1"/>
        <v>накладка декоративная</v>
      </c>
      <c r="U11" s="484">
        <f t="shared" si="0"/>
        <v>0</v>
      </c>
      <c r="V11" s="484">
        <f t="shared" si="0"/>
        <v>0</v>
      </c>
      <c r="W11" s="484">
        <f t="shared" si="0"/>
        <v>0</v>
      </c>
      <c r="X11" s="484">
        <f t="shared" si="0"/>
        <v>0</v>
      </c>
      <c r="Y11" s="484">
        <f t="shared" si="0"/>
        <v>0</v>
      </c>
      <c r="Z11" s="484">
        <f t="shared" si="0"/>
        <v>0</v>
      </c>
      <c r="AA11" s="484">
        <f t="shared" si="0"/>
        <v>0</v>
      </c>
      <c r="AB11" s="484">
        <f t="shared" si="0"/>
        <v>0</v>
      </c>
      <c r="AC11" s="484">
        <f t="shared" si="0"/>
        <v>0</v>
      </c>
      <c r="AD11" s="484">
        <f t="shared" si="0"/>
        <v>0</v>
      </c>
      <c r="AE11" s="484">
        <f t="shared" si="0"/>
        <v>2</v>
      </c>
      <c r="AF11" s="484">
        <f t="shared" si="0"/>
        <v>0</v>
      </c>
      <c r="AG11" s="507">
        <f>AU11</f>
        <v>10000</v>
      </c>
      <c r="AH11" s="500">
        <f>(Y11*0.5+AE11)*BT11</f>
        <v>3785.9</v>
      </c>
      <c r="AI11" s="442">
        <f>U11*$U$8</f>
        <v>0</v>
      </c>
      <c r="AJ11" s="442">
        <f>V11*$V$8</f>
        <v>0</v>
      </c>
      <c r="AK11" s="442">
        <f>W11*$W$8</f>
        <v>0</v>
      </c>
      <c r="AL11" s="442">
        <f>X11*$X$8</f>
        <v>0</v>
      </c>
      <c r="AM11" s="442">
        <f>Y11*$Y$8</f>
        <v>0</v>
      </c>
      <c r="AN11" s="442">
        <f>Z11*$Z$8</f>
        <v>0</v>
      </c>
      <c r="AO11" s="442">
        <f>AA11*$AA$8</f>
        <v>0</v>
      </c>
      <c r="AP11" s="442">
        <f>AB11*$AB$8</f>
        <v>0</v>
      </c>
      <c r="AQ11" s="442">
        <f>AC11*$AC$8</f>
        <v>0</v>
      </c>
      <c r="AR11" s="442">
        <f>AD11*$AD$8</f>
        <v>0</v>
      </c>
      <c r="AS11" s="442">
        <f>AE11*$AE$8</f>
        <v>10000</v>
      </c>
      <c r="AT11" s="442">
        <f>AF11*$AF$8</f>
        <v>0</v>
      </c>
      <c r="AU11" s="442">
        <f>SUM(AI11:AT11)</f>
        <v>10000</v>
      </c>
      <c r="AV11" s="442"/>
      <c r="AW11" s="442"/>
      <c r="AX11" s="3"/>
      <c r="AY11" s="3"/>
      <c r="AZ11" s="143">
        <v>0</v>
      </c>
      <c r="BA11" s="143">
        <v>0</v>
      </c>
      <c r="BB11" s="143">
        <v>0</v>
      </c>
      <c r="BC11" s="143">
        <v>0</v>
      </c>
      <c r="BD11" s="141">
        <f>IF(AND(BL11&gt;0,BL11&lt;=2500),1,0)</f>
        <v>0</v>
      </c>
      <c r="BE11" s="143">
        <v>0</v>
      </c>
      <c r="BF11" s="143">
        <v>0</v>
      </c>
      <c r="BG11" s="143">
        <v>0</v>
      </c>
      <c r="BH11" s="143">
        <v>0</v>
      </c>
      <c r="BI11" s="143">
        <v>0</v>
      </c>
      <c r="BJ11" s="141">
        <f>IF(AND(BL11&gt;2500,BL11&lt;=5025),BM11+1,BM11)</f>
        <v>2</v>
      </c>
      <c r="BK11" s="143">
        <v>0</v>
      </c>
      <c r="BL11" s="185">
        <f>$N$11-INT($BC$6/($L$12+$L$11*$M$11))*($L$12+$L$11*$M$11)*BM11</f>
        <v>0</v>
      </c>
      <c r="BM11" s="141">
        <f>IF($E$4&gt;$BC$6,0,INT($M$12/INT($BC$6/($L$12+$L$11*$M$11))))</f>
        <v>2</v>
      </c>
      <c r="BN11" s="141"/>
      <c r="BO11" s="141"/>
      <c r="BP11" s="188"/>
      <c r="BQ11" s="188"/>
      <c r="BR11" s="188"/>
      <c r="BS11" s="144"/>
      <c r="BT11" s="144">
        <f t="array" ref="BT11">INDEX(Цены!J:J,MATCH(J11&amp;$E$7,Цены!C:C&amp;Цены!G:G,0))</f>
        <v>1892.95</v>
      </c>
      <c r="BU11" s="144"/>
      <c r="BV11" s="51" t="s">
        <v>106</v>
      </c>
      <c r="CE11" s="1" t="s">
        <v>461</v>
      </c>
    </row>
    <row r="12" spans="2:88" ht="25.05" customHeight="1" x14ac:dyDescent="0.3">
      <c r="B12" s="510" t="s">
        <v>22</v>
      </c>
      <c r="C12" s="511"/>
      <c r="D12" s="511"/>
      <c r="E12" s="512" t="s">
        <v>99</v>
      </c>
      <c r="F12" s="512"/>
      <c r="G12" s="512"/>
      <c r="H12" s="513"/>
      <c r="J12" s="407" t="s">
        <v>5</v>
      </c>
      <c r="K12" s="238" t="s">
        <v>192</v>
      </c>
      <c r="L12" s="128">
        <f>IF(OR(E8=BV6,E8=BV7,E8=BV8),L10,
IF(OR(E8=BV9,E8=BV10,E8=BV11,E8=BV12,E8=BV13,E8=BV14),L10,0))</f>
        <v>3200</v>
      </c>
      <c r="M12" s="129">
        <f>IF(OR(E8=BV6,E8=BV7,E8=BV8,E8=BV10,E8=BV11),1,
IF(OR(E8=BV9,E8=BV12,E8=BV14),2,
IF(E8=BV13,1,0)))</f>
        <v>2</v>
      </c>
      <c r="N12" s="543"/>
      <c r="O12" s="501"/>
      <c r="P12" s="247"/>
      <c r="Q12" s="247"/>
      <c r="R12" s="483"/>
      <c r="S12" s="255"/>
      <c r="T12" s="410" t="str">
        <f t="shared" si="1"/>
        <v>накладка декоративная</v>
      </c>
      <c r="U12" s="484"/>
      <c r="V12" s="484"/>
      <c r="W12" s="484"/>
      <c r="X12" s="484"/>
      <c r="Y12" s="484"/>
      <c r="Z12" s="484"/>
      <c r="AA12" s="484"/>
      <c r="AB12" s="484"/>
      <c r="AC12" s="484"/>
      <c r="AD12" s="484"/>
      <c r="AE12" s="484"/>
      <c r="AF12" s="484"/>
      <c r="AG12" s="507"/>
      <c r="AH12" s="500"/>
      <c r="AI12" s="442"/>
      <c r="AJ12" s="442"/>
      <c r="AK12" s="442"/>
      <c r="AL12" s="442"/>
      <c r="AM12" s="442"/>
      <c r="AN12" s="442"/>
      <c r="AO12" s="442"/>
      <c r="AP12" s="442"/>
      <c r="AQ12" s="442"/>
      <c r="AR12" s="442"/>
      <c r="AS12" s="442"/>
      <c r="AT12" s="442"/>
      <c r="AU12" s="442"/>
      <c r="AV12" s="442"/>
      <c r="AW12" s="442"/>
      <c r="AX12" s="3"/>
      <c r="AY12" s="3"/>
      <c r="AZ12" s="141"/>
      <c r="BA12" s="141"/>
      <c r="BB12" s="141"/>
      <c r="BC12" s="141"/>
      <c r="BD12" s="141"/>
      <c r="BE12" s="141"/>
      <c r="BF12" s="141"/>
      <c r="BG12" s="141"/>
      <c r="BH12" s="141"/>
      <c r="BI12" s="141"/>
      <c r="BJ12" s="141"/>
      <c r="BK12" s="141"/>
      <c r="BL12" s="185"/>
      <c r="BM12" s="141"/>
      <c r="BN12" s="141"/>
      <c r="BO12" s="141"/>
      <c r="BP12" s="188"/>
      <c r="BQ12" s="188"/>
      <c r="BR12" s="188"/>
      <c r="BS12" s="144"/>
      <c r="BT12" s="144"/>
      <c r="BU12" s="144"/>
      <c r="BV12" s="51" t="s">
        <v>130</v>
      </c>
    </row>
    <row r="13" spans="2:88" ht="25.05" customHeight="1" x14ac:dyDescent="0.3">
      <c r="B13" s="516" t="s">
        <v>158</v>
      </c>
      <c r="C13" s="517"/>
      <c r="D13" s="517"/>
      <c r="E13" s="512" t="s">
        <v>129</v>
      </c>
      <c r="F13" s="512"/>
      <c r="G13" s="512"/>
      <c r="H13" s="513"/>
      <c r="J13" s="22" t="s">
        <v>3</v>
      </c>
      <c r="K13" s="238" t="s">
        <v>259</v>
      </c>
      <c r="L13" s="403">
        <f>K5-78</f>
        <v>1012</v>
      </c>
      <c r="M13" s="409">
        <f>E9*2</f>
        <v>6</v>
      </c>
      <c r="N13" s="403">
        <f>L13*M13</f>
        <v>6072</v>
      </c>
      <c r="O13" s="397">
        <f>BM13+IF(BL13&gt;0,1,0)</f>
        <v>2</v>
      </c>
      <c r="P13" s="247"/>
      <c r="Q13" s="247"/>
      <c r="R13" s="338">
        <f>O13*BT13</f>
        <v>6534.3</v>
      </c>
      <c r="S13" s="255"/>
      <c r="T13" s="410" t="str">
        <f t="shared" si="1"/>
        <v>рамка верхняя</v>
      </c>
      <c r="U13" s="395">
        <f t="shared" ref="U13:AF14" si="2">IF($Z$3=$CE$21,AZ13,IF($Z$3=$CE$27,AZ37,IF($Z$3=$CE$28,AZ48,AZ25)))</f>
        <v>0</v>
      </c>
      <c r="V13" s="395">
        <f t="shared" si="2"/>
        <v>0</v>
      </c>
      <c r="W13" s="395">
        <f t="shared" si="2"/>
        <v>0</v>
      </c>
      <c r="X13" s="395">
        <f t="shared" si="2"/>
        <v>0</v>
      </c>
      <c r="Y13" s="395">
        <f t="shared" si="2"/>
        <v>0</v>
      </c>
      <c r="Z13" s="395">
        <f t="shared" si="2"/>
        <v>0</v>
      </c>
      <c r="AA13" s="395">
        <f t="shared" si="2"/>
        <v>1</v>
      </c>
      <c r="AB13" s="395">
        <f t="shared" si="2"/>
        <v>0</v>
      </c>
      <c r="AC13" s="395">
        <f t="shared" si="2"/>
        <v>0</v>
      </c>
      <c r="AD13" s="395">
        <f t="shared" si="2"/>
        <v>0</v>
      </c>
      <c r="AE13" s="395">
        <f t="shared" si="2"/>
        <v>1</v>
      </c>
      <c r="AF13" s="395">
        <f t="shared" si="2"/>
        <v>0</v>
      </c>
      <c r="AG13" s="398">
        <f>AU13</f>
        <v>8000</v>
      </c>
      <c r="AH13" s="396">
        <f>(U13*0.2+V13*0.25+X13*0.4+Y13*0.5+AA13*0.6+AC13*0.75+AD13*0.8+AE13)*BT13</f>
        <v>5227.4400000000005</v>
      </c>
      <c r="AI13" s="442">
        <f t="shared" ref="AI13:AI14" si="3">U13*$U$8</f>
        <v>0</v>
      </c>
      <c r="AJ13" s="442">
        <f t="shared" ref="AJ13:AJ14" si="4">V13*$V$8</f>
        <v>0</v>
      </c>
      <c r="AK13" s="442">
        <f t="shared" ref="AK13:AK14" si="5">W13*$W$8</f>
        <v>0</v>
      </c>
      <c r="AL13" s="442">
        <f t="shared" ref="AL13:AL14" si="6">X13*$X$8</f>
        <v>0</v>
      </c>
      <c r="AM13" s="442">
        <f t="shared" ref="AM13:AM14" si="7">Y13*$Y$8</f>
        <v>0</v>
      </c>
      <c r="AN13" s="442">
        <f t="shared" ref="AN13:AN14" si="8">Z13*$Z$8</f>
        <v>0</v>
      </c>
      <c r="AO13" s="442">
        <f t="shared" ref="AO13:AO14" si="9">AA13*$AA$8</f>
        <v>3000</v>
      </c>
      <c r="AP13" s="442">
        <f t="shared" ref="AP13:AP14" si="10">AB13*$AB$8</f>
        <v>0</v>
      </c>
      <c r="AQ13" s="442">
        <f t="shared" ref="AQ13:AQ14" si="11">AC13*$AC$8</f>
        <v>0</v>
      </c>
      <c r="AR13" s="442">
        <f t="shared" ref="AR13:AR14" si="12">AD13*$AD$8</f>
        <v>0</v>
      </c>
      <c r="AS13" s="442">
        <f t="shared" ref="AS13:AS14" si="13">AE13*$AE$8</f>
        <v>5000</v>
      </c>
      <c r="AT13" s="442">
        <f t="shared" ref="AT13:AT14" si="14">AF13*$AF$8</f>
        <v>0</v>
      </c>
      <c r="AU13" s="442">
        <f t="shared" ref="AU13:AU14" si="15">SUM(AI13:AT13)</f>
        <v>8000</v>
      </c>
      <c r="AV13" s="442"/>
      <c r="AW13" s="442"/>
      <c r="AX13" s="363">
        <v>0.47399999999999998</v>
      </c>
      <c r="AY13" s="3">
        <f>AX13*L13*M13/1000</f>
        <v>2.8781279999999998</v>
      </c>
      <c r="AZ13" s="141">
        <f>IF(AND(BL13&gt;0,BL13&lt;=1000),1,0)</f>
        <v>0</v>
      </c>
      <c r="BA13" s="143">
        <v>0</v>
      </c>
      <c r="BB13" s="143">
        <v>0</v>
      </c>
      <c r="BC13" s="141">
        <f>IF(AND(BL13&gt;1000,BL13&lt;=2000),1,0)</f>
        <v>0</v>
      </c>
      <c r="BD13" s="143">
        <v>0</v>
      </c>
      <c r="BE13" s="143">
        <v>0</v>
      </c>
      <c r="BF13" s="141">
        <f>IF(AND(BL13&gt;2000,BL13&lt;=3000),1,0)</f>
        <v>1</v>
      </c>
      <c r="BG13" s="143">
        <v>0</v>
      </c>
      <c r="BH13" s="143">
        <v>0</v>
      </c>
      <c r="BI13" s="141">
        <f>IF(AND(BL13&gt;3000,BL13&lt;=4000),1,0)</f>
        <v>0</v>
      </c>
      <c r="BJ13" s="141">
        <f>IF(AND(BL13&gt;4000,BL13&lt;=4950),BM13+1,BM13)</f>
        <v>1</v>
      </c>
      <c r="BK13" s="143">
        <v>0</v>
      </c>
      <c r="BL13" s="185">
        <f>N13-INT($BC$5/L13)*L13*BM13</f>
        <v>2024</v>
      </c>
      <c r="BM13" s="141">
        <f>INT(M13/INT($BC$5/L13))</f>
        <v>1</v>
      </c>
      <c r="BN13" s="141"/>
      <c r="BO13" s="141"/>
      <c r="BP13" s="188"/>
      <c r="BQ13" s="188"/>
      <c r="BR13" s="189"/>
      <c r="BS13" s="152"/>
      <c r="BT13" s="144">
        <f t="array" ref="BT13">INDEX(Цены!J:J,MATCH(J13&amp;$E$7,Цены!C:C&amp;Цены!G:G,0))</f>
        <v>3267.15</v>
      </c>
      <c r="BU13" s="144"/>
      <c r="BV13" s="51" t="s">
        <v>183</v>
      </c>
    </row>
    <row r="14" spans="2:88" ht="25.05" customHeight="1" thickBot="1" x14ac:dyDescent="0.35">
      <c r="B14" s="510" t="s">
        <v>125</v>
      </c>
      <c r="C14" s="511"/>
      <c r="D14" s="511"/>
      <c r="E14" s="512" t="s">
        <v>99</v>
      </c>
      <c r="F14" s="512"/>
      <c r="G14" s="512"/>
      <c r="H14" s="513"/>
      <c r="J14" s="132" t="str">
        <f>E6</f>
        <v>рамка средняя 4в1</v>
      </c>
      <c r="K14" s="238" t="str">
        <f>IF(J14=CD6,CE6,CE7)</f>
        <v>FA0716.VP500</v>
      </c>
      <c r="L14" s="403">
        <f>IF(AND(E6=CD7,E5&gt;0),K5-78,IF(AND(E6=CD6,E5&gt;0),K5-76,0))</f>
        <v>0</v>
      </c>
      <c r="M14" s="409">
        <f>E9*E5</f>
        <v>0</v>
      </c>
      <c r="N14" s="403">
        <f>L14*M14</f>
        <v>0</v>
      </c>
      <c r="O14" s="397">
        <f>IF(J14=CD7,BM14+IF(BL14&gt;0,1,0),BP14+IF(BO14&gt;0,1,0))</f>
        <v>0</v>
      </c>
      <c r="P14" s="247"/>
      <c r="Q14" s="247"/>
      <c r="R14" s="330">
        <f>O14*BT14</f>
        <v>0</v>
      </c>
      <c r="S14" s="255"/>
      <c r="T14" s="410" t="str">
        <f>J14</f>
        <v>рамка средняя 4в1</v>
      </c>
      <c r="U14" s="395">
        <f t="shared" si="2"/>
        <v>0</v>
      </c>
      <c r="V14" s="395">
        <f t="shared" si="2"/>
        <v>0</v>
      </c>
      <c r="W14" s="395">
        <f t="shared" si="2"/>
        <v>0</v>
      </c>
      <c r="X14" s="395">
        <f t="shared" si="2"/>
        <v>0</v>
      </c>
      <c r="Y14" s="395">
        <f t="shared" si="2"/>
        <v>0</v>
      </c>
      <c r="Z14" s="395">
        <f t="shared" si="2"/>
        <v>0</v>
      </c>
      <c r="AA14" s="395">
        <f t="shared" si="2"/>
        <v>0</v>
      </c>
      <c r="AB14" s="395">
        <f t="shared" si="2"/>
        <v>0</v>
      </c>
      <c r="AC14" s="395">
        <f t="shared" si="2"/>
        <v>0</v>
      </c>
      <c r="AD14" s="395">
        <f t="shared" si="2"/>
        <v>0</v>
      </c>
      <c r="AE14" s="395">
        <f t="shared" si="2"/>
        <v>0</v>
      </c>
      <c r="AF14" s="395">
        <f t="shared" si="2"/>
        <v>0</v>
      </c>
      <c r="AG14" s="398">
        <f>AU14</f>
        <v>0</v>
      </c>
      <c r="AH14" s="405">
        <f>IF(E6=CD6,AW15,AV15)</f>
        <v>0</v>
      </c>
      <c r="AI14" s="442">
        <f t="shared" si="3"/>
        <v>0</v>
      </c>
      <c r="AJ14" s="442">
        <f t="shared" si="4"/>
        <v>0</v>
      </c>
      <c r="AK14" s="442">
        <f t="shared" si="5"/>
        <v>0</v>
      </c>
      <c r="AL14" s="442">
        <f t="shared" si="6"/>
        <v>0</v>
      </c>
      <c r="AM14" s="442">
        <f t="shared" si="7"/>
        <v>0</v>
      </c>
      <c r="AN14" s="442">
        <f t="shared" si="8"/>
        <v>0</v>
      </c>
      <c r="AO14" s="442">
        <f t="shared" si="9"/>
        <v>0</v>
      </c>
      <c r="AP14" s="442">
        <f t="shared" si="10"/>
        <v>0</v>
      </c>
      <c r="AQ14" s="442">
        <f t="shared" si="11"/>
        <v>0</v>
      </c>
      <c r="AR14" s="442">
        <f t="shared" si="12"/>
        <v>0</v>
      </c>
      <c r="AS14" s="442">
        <f t="shared" si="13"/>
        <v>0</v>
      </c>
      <c r="AT14" s="442">
        <f t="shared" si="14"/>
        <v>0</v>
      </c>
      <c r="AU14" s="442">
        <f t="shared" si="15"/>
        <v>0</v>
      </c>
      <c r="AV14" s="188" t="s">
        <v>266</v>
      </c>
      <c r="AW14" s="189" t="s">
        <v>267</v>
      </c>
      <c r="AX14" s="363">
        <v>0.58499999999999996</v>
      </c>
      <c r="AY14" s="3">
        <f>AX14*L14*M14/1000</f>
        <v>0</v>
      </c>
      <c r="AZ14" s="190">
        <f>IF(AND(J14=CD7,BL14&gt;0,BL14&lt;=1000),1,0)</f>
        <v>0</v>
      </c>
      <c r="BA14" s="143">
        <v>0</v>
      </c>
      <c r="BB14" s="191">
        <f>IF(AND(J14=CD6,BO14&gt;0,BO14&lt;=1800),1,0)</f>
        <v>0</v>
      </c>
      <c r="BC14" s="190">
        <f>IF(AND(J14=CD7,BL14&gt;1000,BL14&lt;=2000),1,0)</f>
        <v>0</v>
      </c>
      <c r="BD14" s="143">
        <v>0</v>
      </c>
      <c r="BE14" s="191">
        <f>IF(AND(J14=CD6,BO14&gt;1800,BO14&lt;=2700),1,0)</f>
        <v>0</v>
      </c>
      <c r="BF14" s="190">
        <f>IF(AND(J14=CD7,BL14&gt;2000,BL14&lt;=3000),1,0)</f>
        <v>0</v>
      </c>
      <c r="BG14" s="191">
        <f>IF(AND(J14=CD6,BO14&gt;2700,BO14&lt;=3600),1,0)</f>
        <v>0</v>
      </c>
      <c r="BH14" s="143">
        <v>0</v>
      </c>
      <c r="BI14" s="190">
        <f>IF(AND(J14=CD7,BL14&gt;3000,BL14&lt;=4000),1,0)</f>
        <v>0</v>
      </c>
      <c r="BJ14" s="190">
        <f>IF(AND(J14=CD7,BL14&gt;4000,BL14&lt;=4950),BM14+1,BM14)</f>
        <v>0</v>
      </c>
      <c r="BK14" s="191">
        <f>IF(AND(J14=CD6,BO14&gt;3600,BO14&lt;=5350),BP14+1,BP14)</f>
        <v>0</v>
      </c>
      <c r="BL14" s="185">
        <f>IF(E5&lt;&gt;0,N14-INT(BC5/L14)*L14*BM14,0)</f>
        <v>0</v>
      </c>
      <c r="BM14" s="141">
        <f>IF(AND(E6=CD7,E5&lt;&gt;0),INT(M14/INT(BC5/L14)),0)</f>
        <v>0</v>
      </c>
      <c r="BN14" s="141"/>
      <c r="BO14" s="141">
        <f>IF(E5&lt;&gt;0,N14-INT(BC7/L14)*L14*BP14,0)</f>
        <v>0</v>
      </c>
      <c r="BP14" s="188">
        <f>IF(AND(E6=CD6,E5&lt;&gt;0),INT(M14/INT(BC7/L14)),0)</f>
        <v>0</v>
      </c>
      <c r="BQ14" s="188"/>
      <c r="BR14" s="188"/>
      <c r="BS14" s="144"/>
      <c r="BT14" s="144">
        <f t="array" ref="BT14">INDEX(Цены!J:J,MATCH(J14&amp;$E$7,Цены!C:C&amp;Цены!G:G,0))</f>
        <v>3828.23</v>
      </c>
      <c r="BU14" s="152"/>
      <c r="BV14" s="1" t="s">
        <v>189</v>
      </c>
      <c r="CE14" s="1" t="s">
        <v>174</v>
      </c>
    </row>
    <row r="15" spans="2:88" ht="25.05" customHeight="1" thickBot="1" x14ac:dyDescent="0.4">
      <c r="B15" s="510" t="s">
        <v>165</v>
      </c>
      <c r="C15" s="511"/>
      <c r="D15" s="511"/>
      <c r="E15" s="514" t="s">
        <v>99</v>
      </c>
      <c r="F15" s="514"/>
      <c r="G15" s="514"/>
      <c r="H15" s="515"/>
      <c r="J15" s="264"/>
      <c r="K15" s="265"/>
      <c r="L15" s="265"/>
      <c r="M15" s="265"/>
      <c r="N15" s="265"/>
      <c r="O15" s="266"/>
      <c r="P15" s="245"/>
      <c r="Q15" s="267"/>
      <c r="R15" s="136">
        <f>SUM(R9:R14)</f>
        <v>44001.35</v>
      </c>
      <c r="S15" s="255"/>
      <c r="T15" s="321"/>
      <c r="U15" s="505" t="s">
        <v>103</v>
      </c>
      <c r="V15" s="505"/>
      <c r="W15" s="505"/>
      <c r="X15" s="505"/>
      <c r="Y15" s="505"/>
      <c r="Z15" s="505"/>
      <c r="AA15" s="505"/>
      <c r="AB15" s="505"/>
      <c r="AC15" s="505"/>
      <c r="AD15" s="505"/>
      <c r="AE15" s="505"/>
      <c r="AF15" s="505"/>
      <c r="AG15" s="506"/>
      <c r="AH15" s="136">
        <f>SUM(AH9:AH14)</f>
        <v>42694.49</v>
      </c>
      <c r="AI15" s="256"/>
      <c r="AJ15" s="256"/>
      <c r="AK15" s="256"/>
      <c r="AL15" s="256"/>
      <c r="AM15" s="256"/>
      <c r="AN15" s="256"/>
      <c r="AO15" s="256"/>
      <c r="AP15" s="256"/>
      <c r="AQ15" s="256"/>
      <c r="AR15" s="256"/>
      <c r="AS15" s="256"/>
      <c r="AT15" s="256"/>
      <c r="AU15" s="256"/>
      <c r="AV15" s="256">
        <f>(U14*0.2+V14*0.25+X14*0.4+Y14*0.5+AA14*0.6+AC14*0.75+AD14*0.8+AE14)*BT14</f>
        <v>0</v>
      </c>
      <c r="AW15" s="256">
        <f>(W14*0.34+Z14*0.5+AB14*0.67+AF14)*BT14</f>
        <v>0</v>
      </c>
      <c r="AX15" s="364">
        <v>0.33600000000000002</v>
      </c>
      <c r="AY15" s="3">
        <f>AX15*L14*M14/1000</f>
        <v>0</v>
      </c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478" t="s">
        <v>526</v>
      </c>
      <c r="BM15" s="478"/>
      <c r="BN15" s="4"/>
      <c r="BO15" s="477" t="s">
        <v>450</v>
      </c>
      <c r="BP15" s="477"/>
      <c r="BQ15" s="4"/>
      <c r="BR15" s="4"/>
      <c r="BS15" s="4"/>
      <c r="BT15" s="4"/>
      <c r="BU15" s="144"/>
      <c r="CE15" s="1" t="s">
        <v>175</v>
      </c>
    </row>
    <row r="16" spans="2:88" ht="25.05" customHeight="1" thickBot="1" x14ac:dyDescent="0.35">
      <c r="B16" s="516" t="s">
        <v>170</v>
      </c>
      <c r="C16" s="517"/>
      <c r="D16" s="517"/>
      <c r="E16" s="514">
        <v>0</v>
      </c>
      <c r="F16" s="514"/>
      <c r="G16" s="514"/>
      <c r="H16" s="515"/>
      <c r="J16" s="12"/>
      <c r="K16" s="6"/>
      <c r="L16" s="6"/>
      <c r="M16" s="6"/>
      <c r="N16" s="6"/>
      <c r="O16" s="13"/>
      <c r="S16" s="256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Z16" s="438"/>
      <c r="BA16" s="54" t="s">
        <v>522</v>
      </c>
      <c r="BU16" s="4"/>
    </row>
    <row r="17" spans="2:83" ht="25.05" customHeight="1" thickBot="1" x14ac:dyDescent="0.35">
      <c r="B17" s="520" t="s">
        <v>475</v>
      </c>
      <c r="C17" s="521"/>
      <c r="D17" s="521"/>
      <c r="E17" s="522">
        <v>1</v>
      </c>
      <c r="F17" s="522"/>
      <c r="G17" s="522"/>
      <c r="H17" s="523"/>
      <c r="J17" s="12"/>
      <c r="K17" s="6"/>
      <c r="L17" s="6"/>
      <c r="M17" s="6"/>
      <c r="N17" s="6"/>
      <c r="O17" s="13"/>
      <c r="P17" s="5"/>
      <c r="Q17" s="5"/>
      <c r="R17" s="6"/>
      <c r="S17" s="5"/>
      <c r="T17" s="5"/>
      <c r="U17" s="6"/>
      <c r="V17" s="6"/>
      <c r="W17" s="6"/>
      <c r="X17" s="6"/>
      <c r="Y17" s="6"/>
      <c r="Z17" s="6"/>
      <c r="AA17" s="6"/>
      <c r="AB17" s="479" t="s">
        <v>102</v>
      </c>
      <c r="AC17" s="479"/>
      <c r="AD17" s="479"/>
      <c r="AE17" s="479"/>
      <c r="AF17" s="479"/>
      <c r="AG17" s="479"/>
      <c r="AH17" s="263">
        <f>AH15+R45</f>
        <v>56604.92</v>
      </c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3"/>
      <c r="AY17" s="54">
        <f>IF(E6=CD6,AY9+AY13+AY15,AY9+AY13+AY14)</f>
        <v>13.393727999999999</v>
      </c>
      <c r="AZ17" s="439"/>
      <c r="BA17" s="3" t="s">
        <v>523</v>
      </c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V17" s="1" t="s">
        <v>178</v>
      </c>
    </row>
    <row r="18" spans="2:83" ht="25.05" customHeight="1" thickBot="1" x14ac:dyDescent="0.35">
      <c r="B18" s="510" t="s">
        <v>163</v>
      </c>
      <c r="C18" s="511"/>
      <c r="D18" s="511"/>
      <c r="E18" s="514" t="s">
        <v>99</v>
      </c>
      <c r="F18" s="514"/>
      <c r="G18" s="514"/>
      <c r="H18" s="515"/>
      <c r="J18" s="12"/>
      <c r="K18" s="6"/>
      <c r="L18" s="6"/>
      <c r="M18" s="6"/>
      <c r="N18" s="6"/>
      <c r="O18" s="13"/>
      <c r="P18" s="5"/>
      <c r="Q18" s="5"/>
      <c r="R18" s="6"/>
      <c r="S18" s="5"/>
      <c r="T18" s="5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3"/>
      <c r="AY18" s="145">
        <f>IF(OR(E8=BV11,E8=BV12),AY17/E10,AY17/E9)</f>
        <v>4.4645760000000001</v>
      </c>
      <c r="AZ18" s="3"/>
      <c r="BA18" s="3"/>
      <c r="BB18" s="3"/>
      <c r="BC18" s="3"/>
      <c r="BD18" s="3"/>
      <c r="BE18" s="241" t="s">
        <v>431</v>
      </c>
      <c r="BF18" s="3"/>
      <c r="BG18" s="3"/>
      <c r="BH18" s="3"/>
      <c r="BI18" s="3"/>
      <c r="BJ18" s="3"/>
      <c r="BK18" s="3"/>
      <c r="BL18" s="3"/>
      <c r="BV18" s="1" t="s">
        <v>175</v>
      </c>
    </row>
    <row r="19" spans="2:83" ht="25.05" customHeight="1" thickBot="1" x14ac:dyDescent="0.35">
      <c r="B19" s="518" t="s">
        <v>164</v>
      </c>
      <c r="C19" s="519"/>
      <c r="D19" s="519"/>
      <c r="E19" s="525" t="s">
        <v>99</v>
      </c>
      <c r="F19" s="525"/>
      <c r="G19" s="525"/>
      <c r="H19" s="526"/>
      <c r="J19" s="406" t="s">
        <v>181</v>
      </c>
      <c r="K19" s="402"/>
      <c r="L19" s="402"/>
      <c r="M19" s="6"/>
      <c r="N19" s="6"/>
      <c r="O19" s="13"/>
      <c r="P19" s="5"/>
      <c r="Q19" s="5"/>
      <c r="R19" s="6"/>
      <c r="S19" s="5"/>
      <c r="T19" s="5"/>
      <c r="U19" s="268"/>
      <c r="V19" s="268"/>
      <c r="W19" s="268"/>
      <c r="X19" s="268"/>
      <c r="Y19" s="268"/>
      <c r="Z19" s="268"/>
      <c r="AA19" s="268"/>
      <c r="AB19" s="268"/>
      <c r="AC19" s="268"/>
      <c r="AD19" s="268"/>
      <c r="AE19" s="268"/>
      <c r="AF19" s="268"/>
      <c r="AG19" s="268"/>
      <c r="AH19" s="268"/>
      <c r="AI19" s="280"/>
      <c r="AJ19" s="280"/>
      <c r="AK19" s="280"/>
      <c r="AL19" s="280"/>
      <c r="AM19" s="280"/>
      <c r="AN19" s="280"/>
      <c r="AO19" s="280"/>
      <c r="AP19" s="280"/>
      <c r="AQ19" s="280"/>
      <c r="AR19" s="280"/>
      <c r="AS19" s="280"/>
      <c r="AT19" s="280"/>
      <c r="AU19" s="280"/>
      <c r="AV19" s="280"/>
      <c r="AW19" s="280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</row>
    <row r="20" spans="2:83" ht="25.05" customHeight="1" x14ac:dyDescent="0.3">
      <c r="B20" s="1" t="s">
        <v>473</v>
      </c>
      <c r="J20" s="548" t="s">
        <v>0</v>
      </c>
      <c r="K20" s="549"/>
      <c r="L20" s="549"/>
      <c r="M20" s="549"/>
      <c r="N20" s="404" t="s">
        <v>1</v>
      </c>
      <c r="O20" s="239" t="s">
        <v>8</v>
      </c>
      <c r="P20" s="140"/>
      <c r="Q20" s="140"/>
      <c r="R20" s="261" t="s">
        <v>24</v>
      </c>
      <c r="S20" s="140"/>
      <c r="T20" s="140"/>
      <c r="U20" s="444"/>
      <c r="V20" s="444"/>
      <c r="W20" s="444"/>
      <c r="X20" s="444"/>
      <c r="Y20" s="444"/>
      <c r="Z20" s="444"/>
      <c r="AA20" s="444"/>
      <c r="AB20" s="444"/>
      <c r="AC20" s="444"/>
      <c r="AD20" s="444"/>
      <c r="AE20" s="444"/>
      <c r="AF20" s="444"/>
      <c r="AG20" s="445"/>
      <c r="AH20" s="303"/>
      <c r="AI20" s="303"/>
      <c r="AJ20" s="303"/>
      <c r="AK20" s="303"/>
      <c r="AL20" s="303"/>
      <c r="AM20" s="303"/>
      <c r="AN20" s="303"/>
      <c r="AO20" s="303"/>
      <c r="AP20" s="303"/>
      <c r="AQ20" s="303"/>
      <c r="AR20" s="303"/>
      <c r="AS20" s="303"/>
      <c r="AT20" s="303"/>
      <c r="AU20" s="303"/>
      <c r="AV20" s="303"/>
      <c r="AW20" s="303"/>
      <c r="AX20" s="53"/>
      <c r="AY20" s="53"/>
      <c r="AZ20" s="96">
        <v>1000</v>
      </c>
      <c r="BA20" s="96">
        <v>1250</v>
      </c>
      <c r="BB20" s="96">
        <v>1800</v>
      </c>
      <c r="BC20" s="96">
        <v>2000</v>
      </c>
      <c r="BD20" s="96">
        <v>2500</v>
      </c>
      <c r="BE20" s="96">
        <v>2700</v>
      </c>
      <c r="BF20" s="96">
        <v>3000</v>
      </c>
      <c r="BG20" s="96">
        <v>3600</v>
      </c>
      <c r="BH20" s="96">
        <v>3750</v>
      </c>
      <c r="BI20" s="96">
        <v>4000</v>
      </c>
      <c r="BJ20" s="96">
        <v>5000</v>
      </c>
      <c r="BK20" s="142">
        <v>5400</v>
      </c>
      <c r="BL20" s="187"/>
      <c r="BM20" s="186"/>
      <c r="BN20" s="186"/>
      <c r="BO20" s="186"/>
      <c r="BP20" s="186"/>
      <c r="BQ20" s="186"/>
      <c r="BR20" s="186"/>
      <c r="BS20" s="6"/>
      <c r="BT20" s="6"/>
      <c r="BV20" s="1" t="s">
        <v>85</v>
      </c>
    </row>
    <row r="21" spans="2:83" ht="25.05" customHeight="1" thickBot="1" x14ac:dyDescent="0.35">
      <c r="B21" s="56"/>
      <c r="C21" s="57"/>
      <c r="D21" s="57"/>
      <c r="E21" s="57"/>
      <c r="F21" s="57"/>
      <c r="G21" s="57"/>
      <c r="H21" s="57"/>
      <c r="J21" s="488" t="s">
        <v>160</v>
      </c>
      <c r="K21" s="489"/>
      <c r="L21" s="489"/>
      <c r="M21" s="489"/>
      <c r="N21" s="206" t="s">
        <v>221</v>
      </c>
      <c r="O21" s="230">
        <f>E9</f>
        <v>3</v>
      </c>
      <c r="P21" s="248"/>
      <c r="Q21" s="248"/>
      <c r="R21" s="262">
        <f>O21*Цены!J149</f>
        <v>9872.01</v>
      </c>
      <c r="S21" s="243"/>
      <c r="T21" s="309"/>
      <c r="U21" s="247"/>
      <c r="V21" s="247"/>
      <c r="W21" s="247"/>
      <c r="X21" s="247"/>
      <c r="Y21" s="247"/>
      <c r="Z21" s="247"/>
      <c r="AA21" s="247"/>
      <c r="AB21" s="247"/>
      <c r="AC21" s="247"/>
      <c r="AD21" s="247"/>
      <c r="AE21" s="247"/>
      <c r="AF21" s="247"/>
      <c r="AG21" s="255"/>
      <c r="AH21" s="255"/>
      <c r="AI21" s="255"/>
      <c r="AJ21" s="255"/>
      <c r="AK21" s="255"/>
      <c r="AL21" s="255"/>
      <c r="AM21" s="255"/>
      <c r="AN21" s="255"/>
      <c r="AO21" s="255"/>
      <c r="AP21" s="255"/>
      <c r="AQ21" s="255"/>
      <c r="AR21" s="255"/>
      <c r="AS21" s="255"/>
      <c r="AT21" s="255"/>
      <c r="AU21" s="255"/>
      <c r="AV21" s="255"/>
      <c r="AW21" s="255"/>
      <c r="AX21" s="53"/>
      <c r="AY21" s="53"/>
      <c r="AZ21" s="141">
        <v>0</v>
      </c>
      <c r="BA21" s="141">
        <v>0</v>
      </c>
      <c r="BB21" s="141">
        <v>0</v>
      </c>
      <c r="BC21" s="141">
        <v>0</v>
      </c>
      <c r="BD21" s="141">
        <v>0</v>
      </c>
      <c r="BE21" s="141">
        <v>0</v>
      </c>
      <c r="BF21" s="141">
        <v>0</v>
      </c>
      <c r="BG21" s="141">
        <v>0</v>
      </c>
      <c r="BH21" s="141">
        <v>0</v>
      </c>
      <c r="BI21" s="141">
        <v>0</v>
      </c>
      <c r="BJ21" s="141">
        <v>0</v>
      </c>
      <c r="BK21" s="315">
        <f>BK9</f>
        <v>3</v>
      </c>
      <c r="BL21" s="141"/>
      <c r="BM21" s="188"/>
      <c r="BN21" s="188"/>
      <c r="BO21" s="188"/>
      <c r="BP21" s="188"/>
      <c r="BQ21" s="188"/>
      <c r="BR21" s="188"/>
      <c r="BS21" s="144"/>
      <c r="BT21" s="144"/>
      <c r="BV21" s="1" t="s">
        <v>86</v>
      </c>
      <c r="CE21" s="1" t="s">
        <v>425</v>
      </c>
    </row>
    <row r="22" spans="2:83" ht="25.05" customHeight="1" thickBot="1" x14ac:dyDescent="0.35">
      <c r="B22" s="58"/>
      <c r="C22" s="59"/>
      <c r="D22" s="59"/>
      <c r="E22" s="59"/>
      <c r="F22" s="59"/>
      <c r="G22" s="59"/>
      <c r="H22" s="60"/>
      <c r="J22" s="488" t="s">
        <v>67</v>
      </c>
      <c r="K22" s="489"/>
      <c r="L22" s="489"/>
      <c r="M22" s="489"/>
      <c r="N22" s="206" t="s">
        <v>222</v>
      </c>
      <c r="O22" s="230">
        <f>IF(OR(E8=BV6,E8=BV7,E8=BV8,E8=BV9,E8=BV10),O21,
IF(AND(E8=BV11,E10&gt;1),1,
IF(AND(E8=BV12,E10&gt;1),3,
IF(E8=BV13,3,
IF(E8=BV14,6,0)))))</f>
        <v>3</v>
      </c>
      <c r="P22" s="248"/>
      <c r="Q22" s="248"/>
      <c r="R22" s="262">
        <f>O22*Цены!J151</f>
        <v>567.81000000000006</v>
      </c>
      <c r="S22" s="243"/>
      <c r="T22" s="309"/>
      <c r="U22" s="247"/>
      <c r="V22" s="247"/>
      <c r="W22" s="247"/>
      <c r="X22" s="247"/>
      <c r="Y22" s="247"/>
      <c r="Z22" s="247"/>
      <c r="AA22" s="247"/>
      <c r="AB22" s="247"/>
      <c r="AC22" s="247"/>
      <c r="AD22" s="247"/>
      <c r="AE22" s="247"/>
      <c r="AF22" s="247"/>
      <c r="AG22" s="446"/>
      <c r="AH22" s="442"/>
      <c r="AI22" s="440"/>
      <c r="AJ22" s="440"/>
      <c r="AK22" s="440"/>
      <c r="AL22" s="440"/>
      <c r="AM22" s="440"/>
      <c r="AN22" s="440"/>
      <c r="AO22" s="440"/>
      <c r="AP22" s="440"/>
      <c r="AQ22" s="440"/>
      <c r="AR22" s="440"/>
      <c r="AS22" s="440"/>
      <c r="AT22" s="440"/>
      <c r="AU22" s="440"/>
      <c r="AV22" s="440"/>
      <c r="AW22" s="440"/>
      <c r="AX22" s="53"/>
      <c r="AY22" s="53"/>
      <c r="AZ22" s="143">
        <v>0</v>
      </c>
      <c r="BA22" s="143">
        <v>0</v>
      </c>
      <c r="BB22" s="143">
        <v>0</v>
      </c>
      <c r="BC22" s="143">
        <v>0</v>
      </c>
      <c r="BD22" s="141">
        <f>$BD$10</f>
        <v>0</v>
      </c>
      <c r="BE22" s="143">
        <v>0</v>
      </c>
      <c r="BF22" s="143">
        <v>0</v>
      </c>
      <c r="BG22" s="143">
        <v>0</v>
      </c>
      <c r="BH22" s="143">
        <v>0</v>
      </c>
      <c r="BI22" s="143">
        <v>0</v>
      </c>
      <c r="BJ22" s="141">
        <f>$BJ$10</f>
        <v>3</v>
      </c>
      <c r="BK22" s="143">
        <v>0</v>
      </c>
      <c r="BL22" s="185">
        <f>$BL$10</f>
        <v>0</v>
      </c>
      <c r="BM22" s="185">
        <f>$BM$10</f>
        <v>3</v>
      </c>
      <c r="BN22" s="141"/>
      <c r="BO22" s="141"/>
      <c r="BP22" s="141"/>
      <c r="BQ22" s="141"/>
      <c r="BR22" s="141"/>
      <c r="BS22" s="3"/>
      <c r="BT22" s="3"/>
      <c r="CE22" s="1" t="s">
        <v>430</v>
      </c>
    </row>
    <row r="23" spans="2:83" ht="25.05" customHeight="1" thickBot="1" x14ac:dyDescent="0.35">
      <c r="B23" s="204" t="s">
        <v>107</v>
      </c>
      <c r="C23" s="62">
        <f>E5+1</f>
        <v>1</v>
      </c>
      <c r="D23" s="63" t="str">
        <f>IF(C23&gt;5,BV33,BV34)</f>
        <v xml:space="preserve"> </v>
      </c>
      <c r="E23" s="329"/>
      <c r="F23" s="329"/>
      <c r="G23" s="329"/>
      <c r="H23" s="64"/>
      <c r="J23" s="508" t="s">
        <v>73</v>
      </c>
      <c r="K23" s="509"/>
      <c r="L23" s="509"/>
      <c r="M23" s="509"/>
      <c r="N23" s="207" t="s">
        <v>223</v>
      </c>
      <c r="O23" s="230">
        <f>IF(OR(E8=BV6,E8=BV9,E8=BV13),ROUNDUP((O21*2-O29)/2,0),
IF(AND(O29=0,OR(E8=BV7,E8=BV8,E8=BV10)),2,
IF(AND(O29=0,E8=BV14),3,
IF(AND(E12=BV23,OR(E8=BV7,E8=BV8,E8=BV10)),0,
IF(AND(E12=BV23,E8=BV14),1,
IF(AND(E12=BV24,OR(E8=BV7,E8=BV8,E8=BV10)),ROUNDUP((O21*2-O29)/2,0),
IF(AND(E12=BV24,E8=BV14),ROUNDUP(((O21-2)*2-O29)/2+1,0),
IF(OR(AND(E11=BV23,OR(E8=BV12,E8=BV11),O29=0),AND(E11=BV24,OR(E8=BV12,E8=BV11),O29&lt;&gt;0),AND(E11=BV24,OR(E8=BV12,E8=BV11),O29=0)),1,0))))))))</f>
        <v>1</v>
      </c>
      <c r="P23" s="248"/>
      <c r="Q23" s="248"/>
      <c r="R23" s="262">
        <f>O23*Цены!J157</f>
        <v>592.29</v>
      </c>
      <c r="S23" s="243"/>
      <c r="T23" s="309"/>
      <c r="U23" s="101"/>
      <c r="V23" s="101"/>
      <c r="W23" s="101"/>
      <c r="X23" s="101"/>
      <c r="Y23" s="101"/>
      <c r="Z23" s="101"/>
      <c r="AA23" s="101"/>
      <c r="AB23" s="101"/>
      <c r="AC23" s="101"/>
      <c r="AD23" s="101"/>
      <c r="AE23" s="101"/>
      <c r="AF23" s="101"/>
      <c r="AG23" s="19"/>
      <c r="AH23" s="100"/>
      <c r="AI23" s="442"/>
      <c r="AJ23" s="442"/>
      <c r="AK23" s="442"/>
      <c r="AL23" s="442"/>
      <c r="AM23" s="442"/>
      <c r="AN23" s="442"/>
      <c r="AO23" s="442"/>
      <c r="AP23" s="442"/>
      <c r="AQ23" s="442"/>
      <c r="AR23" s="442"/>
      <c r="AS23" s="442"/>
      <c r="AT23" s="442"/>
      <c r="AU23" s="442"/>
      <c r="AV23" s="442"/>
      <c r="AW23" s="442"/>
      <c r="AX23" s="53"/>
      <c r="AY23" s="53"/>
      <c r="AZ23" s="143">
        <v>0</v>
      </c>
      <c r="BA23" s="143">
        <v>0</v>
      </c>
      <c r="BB23" s="143">
        <v>0</v>
      </c>
      <c r="BC23" s="143">
        <v>0</v>
      </c>
      <c r="BD23" s="141">
        <f>$BD$11</f>
        <v>0</v>
      </c>
      <c r="BE23" s="143">
        <v>0</v>
      </c>
      <c r="BF23" s="143">
        <v>0</v>
      </c>
      <c r="BG23" s="143">
        <v>0</v>
      </c>
      <c r="BH23" s="143">
        <v>0</v>
      </c>
      <c r="BI23" s="143">
        <v>0</v>
      </c>
      <c r="BJ23" s="141">
        <f>$BJ$11</f>
        <v>2</v>
      </c>
      <c r="BK23" s="143">
        <v>0</v>
      </c>
      <c r="BL23" s="185">
        <f>$BL$11</f>
        <v>0</v>
      </c>
      <c r="BM23" s="185">
        <f>$BM$11</f>
        <v>2</v>
      </c>
      <c r="BN23" s="141"/>
      <c r="BO23" s="141"/>
      <c r="BP23" s="188"/>
      <c r="BQ23" s="188"/>
      <c r="BR23" s="188"/>
      <c r="BS23" s="144"/>
      <c r="BT23" s="144"/>
      <c r="BV23" s="1" t="s">
        <v>98</v>
      </c>
      <c r="CE23" s="1" t="s">
        <v>427</v>
      </c>
    </row>
    <row r="24" spans="2:83" ht="25.05" customHeight="1" x14ac:dyDescent="0.3">
      <c r="B24" s="66"/>
      <c r="C24" s="67"/>
      <c r="D24" s="67"/>
      <c r="E24" s="67"/>
      <c r="F24" s="67"/>
      <c r="G24" s="67"/>
      <c r="H24" s="68"/>
      <c r="J24" s="486" t="s">
        <v>74</v>
      </c>
      <c r="K24" s="487"/>
      <c r="L24" s="487"/>
      <c r="M24" s="487"/>
      <c r="N24" s="140" t="s">
        <v>233</v>
      </c>
      <c r="O24" s="397">
        <f>IF(OR(E8=BV6,E8=BV9,E8=BV13),O29,
IF(AND(O29&lt;&gt;0,E12=BV23,OR(E8=BV7,E8=BV8,E8=BV10,E8=BV14)),4,
IF(AND(O29&lt;&gt;0,E12=BV24,OR(E8=BV7,E8=BV8,E8=BV10,E8=BV14)),O29,
IF(AND(E11=BV23,E8=BV11,O29&lt;&gt;0),2,
IF(AND(E11=BV24,E8=BV11,O29&lt;&gt;0),O29,
IF(AND(E11=BV23,E8=BV12,O29&lt;&gt;0),3,
IF(AND(E11=BV24,E8=BV12,O29&lt;&gt;0),O29+1,
IF(AND(OR(E11=BV24,E11=BV23),E8=BV12,O29=0),1,0))))))))</f>
        <v>1</v>
      </c>
      <c r="P24" s="249"/>
      <c r="Q24" s="249"/>
      <c r="R24" s="262">
        <f>O24*Цены!J158</f>
        <v>133.72</v>
      </c>
      <c r="S24" s="243"/>
      <c r="T24" s="309"/>
      <c r="U24" s="101"/>
      <c r="V24" s="101"/>
      <c r="W24" s="101"/>
      <c r="X24" s="101"/>
      <c r="Y24" s="101"/>
      <c r="Z24" s="101"/>
      <c r="AA24" s="101"/>
      <c r="AB24" s="101"/>
      <c r="AC24" s="101"/>
      <c r="AD24" s="101"/>
      <c r="AE24" s="101"/>
      <c r="AF24" s="101"/>
      <c r="AG24" s="19"/>
      <c r="AH24" s="100"/>
      <c r="AI24" s="442"/>
      <c r="AJ24" s="442"/>
      <c r="AK24" s="442"/>
      <c r="AL24" s="442"/>
      <c r="AM24" s="442"/>
      <c r="AN24" s="442"/>
      <c r="AO24" s="442"/>
      <c r="AP24" s="442"/>
      <c r="AQ24" s="442"/>
      <c r="AR24" s="442"/>
      <c r="AS24" s="442"/>
      <c r="AT24" s="442"/>
      <c r="AU24" s="442"/>
      <c r="AV24" s="442"/>
      <c r="AW24" s="442"/>
      <c r="AX24" s="53"/>
      <c r="AY24" s="53"/>
      <c r="AZ24" s="141"/>
      <c r="BA24" s="141"/>
      <c r="BB24" s="141"/>
      <c r="BC24" s="141"/>
      <c r="BD24" s="141"/>
      <c r="BE24" s="141"/>
      <c r="BF24" s="141"/>
      <c r="BG24" s="141"/>
      <c r="BH24" s="141"/>
      <c r="BI24" s="141"/>
      <c r="BJ24" s="141"/>
      <c r="BK24" s="141"/>
      <c r="BL24" s="185"/>
      <c r="BM24" s="185"/>
      <c r="BN24" s="141"/>
      <c r="BO24" s="141"/>
      <c r="BP24" s="188"/>
      <c r="BQ24" s="188"/>
      <c r="BR24" s="188"/>
      <c r="BS24" s="144"/>
      <c r="BT24" s="144"/>
      <c r="BV24" s="1" t="s">
        <v>99</v>
      </c>
      <c r="CE24" s="1" t="s">
        <v>428</v>
      </c>
    </row>
    <row r="25" spans="2:83" ht="25.05" customHeight="1" x14ac:dyDescent="0.3">
      <c r="B25" s="66"/>
      <c r="C25" s="67"/>
      <c r="D25" s="67"/>
      <c r="E25" s="67"/>
      <c r="F25" s="67"/>
      <c r="G25" s="67"/>
      <c r="H25" s="68"/>
      <c r="J25" s="488" t="s">
        <v>22</v>
      </c>
      <c r="K25" s="489"/>
      <c r="L25" s="489"/>
      <c r="M25" s="489"/>
      <c r="N25" s="206" t="s">
        <v>225</v>
      </c>
      <c r="O25" s="231">
        <f>IF(OR(AND(E8=BV10,E12=BV23),AND(E8=BV7,E12=BV23),AND(E8=BV8,E12=BV23),AND(E8=BV14,E12=BV23)),1,0)</f>
        <v>0</v>
      </c>
      <c r="P25" s="250"/>
      <c r="Q25" s="250"/>
      <c r="R25" s="262">
        <f>O25*Цены!J128</f>
        <v>0</v>
      </c>
      <c r="S25" s="243"/>
      <c r="T25" s="309"/>
      <c r="U25" s="247"/>
      <c r="V25" s="247"/>
      <c r="W25" s="247"/>
      <c r="X25" s="247"/>
      <c r="Y25" s="247"/>
      <c r="Z25" s="247"/>
      <c r="AA25" s="247"/>
      <c r="AB25" s="247"/>
      <c r="AC25" s="247"/>
      <c r="AD25" s="247"/>
      <c r="AE25" s="247"/>
      <c r="AF25" s="247"/>
      <c r="AG25" s="446"/>
      <c r="AH25" s="442"/>
      <c r="AI25" s="442"/>
      <c r="AJ25" s="442"/>
      <c r="AK25" s="442"/>
      <c r="AL25" s="442"/>
      <c r="AM25" s="442"/>
      <c r="AN25" s="442"/>
      <c r="AO25" s="442"/>
      <c r="AP25" s="442"/>
      <c r="AQ25" s="442"/>
      <c r="AR25" s="442"/>
      <c r="AS25" s="442"/>
      <c r="AT25" s="442"/>
      <c r="AU25" s="442"/>
      <c r="AV25" s="442"/>
      <c r="AW25" s="442"/>
      <c r="AX25" s="53"/>
      <c r="AY25" s="53"/>
      <c r="AZ25" s="143">
        <v>0</v>
      </c>
      <c r="BA25" s="141">
        <f>IF(AND(BL25&gt;0,BL25&lt;=1250),1,0)</f>
        <v>0</v>
      </c>
      <c r="BB25" s="143">
        <v>0</v>
      </c>
      <c r="BC25" s="143">
        <v>0</v>
      </c>
      <c r="BD25" s="141">
        <f>IF(AND(BL25&gt;1250,BL25&lt;=2500),1,0)</f>
        <v>1</v>
      </c>
      <c r="BE25" s="143">
        <v>0</v>
      </c>
      <c r="BF25" s="143">
        <v>0</v>
      </c>
      <c r="BG25" s="143">
        <v>0</v>
      </c>
      <c r="BH25" s="141">
        <f>IF(AND(BL25&gt;2500,BL25&lt;=3750),1,0)</f>
        <v>0</v>
      </c>
      <c r="BI25" s="143">
        <v>0</v>
      </c>
      <c r="BJ25" s="141">
        <f>IF(AND(BL25&gt;3750,BL25&lt;=4950),BM25+1,BM25)</f>
        <v>1</v>
      </c>
      <c r="BK25" s="143">
        <v>0</v>
      </c>
      <c r="BL25" s="185">
        <f t="shared" ref="BL25:BM25" si="16">BL13</f>
        <v>2024</v>
      </c>
      <c r="BM25" s="185">
        <f t="shared" si="16"/>
        <v>1</v>
      </c>
      <c r="BN25" s="141"/>
      <c r="BO25" s="141"/>
      <c r="BP25" s="188"/>
      <c r="BQ25" s="188"/>
      <c r="BR25" s="189"/>
      <c r="BS25" s="152"/>
      <c r="BT25" s="152"/>
      <c r="CE25" s="1" t="s">
        <v>429</v>
      </c>
    </row>
    <row r="26" spans="2:83" ht="25.05" customHeight="1" x14ac:dyDescent="0.3">
      <c r="B26" s="69" t="s">
        <v>108</v>
      </c>
      <c r="C26" s="328" t="s">
        <v>109</v>
      </c>
      <c r="D26" s="70" t="s">
        <v>78</v>
      </c>
      <c r="E26" s="328" t="s">
        <v>110</v>
      </c>
      <c r="F26" s="328" t="s">
        <v>111</v>
      </c>
      <c r="G26" s="328" t="s">
        <v>127</v>
      </c>
      <c r="H26" s="71" t="s">
        <v>128</v>
      </c>
      <c r="J26" s="496" t="s">
        <v>252</v>
      </c>
      <c r="K26" s="497"/>
      <c r="L26" s="497"/>
      <c r="M26" s="497"/>
      <c r="N26" s="206" t="s">
        <v>250</v>
      </c>
      <c r="O26" s="231">
        <f>IF(E11=BV24,0,IF(E8=BV11,E10-1,IF(E8=BV12,E10-2,0)))</f>
        <v>0</v>
      </c>
      <c r="P26" s="250"/>
      <c r="Q26" s="250"/>
      <c r="R26" s="262">
        <f>O26*Цены!J129</f>
        <v>0</v>
      </c>
      <c r="S26" s="243"/>
      <c r="T26" s="309"/>
      <c r="U26" s="247"/>
      <c r="V26" s="247"/>
      <c r="W26" s="247"/>
      <c r="X26" s="247"/>
      <c r="Y26" s="247"/>
      <c r="Z26" s="247"/>
      <c r="AA26" s="247"/>
      <c r="AB26" s="247"/>
      <c r="AC26" s="247"/>
      <c r="AD26" s="247"/>
      <c r="AE26" s="247"/>
      <c r="AF26" s="247"/>
      <c r="AG26" s="446"/>
      <c r="AH26" s="442"/>
      <c r="AI26" s="442"/>
      <c r="AJ26" s="442"/>
      <c r="AK26" s="442"/>
      <c r="AL26" s="442"/>
      <c r="AM26" s="442"/>
      <c r="AN26" s="442"/>
      <c r="AO26" s="442"/>
      <c r="AP26" s="442"/>
      <c r="AQ26" s="442"/>
      <c r="AR26" s="442"/>
      <c r="AS26" s="442"/>
      <c r="AT26" s="442"/>
      <c r="AU26" s="442"/>
      <c r="AV26" s="442"/>
      <c r="AW26" s="442"/>
      <c r="AX26" s="53"/>
      <c r="AY26" s="53"/>
      <c r="AZ26" s="143">
        <v>0</v>
      </c>
      <c r="BA26" s="190">
        <f>IF(AND(J14=CD7,BL26&gt;0,BL26&lt;=1250),1,0)</f>
        <v>0</v>
      </c>
      <c r="BB26" s="191">
        <f>IF(AND(J14=CD6,BO26&gt;0,BO26&lt;=1800),1,0)</f>
        <v>0</v>
      </c>
      <c r="BC26" s="143">
        <v>0</v>
      </c>
      <c r="BD26" s="190">
        <f>IF(AND(J14=CD7,BL26&gt;1250,BL26&lt;=2500),1,0)</f>
        <v>0</v>
      </c>
      <c r="BE26" s="191">
        <f>IF(AND(J14=CD6,BO26&gt;1800,BO26&lt;=2700),1,0)</f>
        <v>0</v>
      </c>
      <c r="BF26" s="143">
        <v>0</v>
      </c>
      <c r="BG26" s="191">
        <f>IF(AND(J14=CD6,BO26&gt;2700,BO26&lt;=3600),1,0)</f>
        <v>0</v>
      </c>
      <c r="BH26" s="190">
        <f>IF(AND(J14=CD7,BL26&gt;2500,BL26&lt;=3750),1,0)</f>
        <v>0</v>
      </c>
      <c r="BI26" s="143">
        <v>0</v>
      </c>
      <c r="BJ26" s="190">
        <f>IF(AND(J14=CD7,BL26&gt;3750,BL26&lt;=4950),BM26+1,BM26)</f>
        <v>0</v>
      </c>
      <c r="BK26" s="191">
        <f>IF(AND(J14=CD6,BO26&gt;3600,BO26&lt;=5350),BP26+1,BP26)</f>
        <v>0</v>
      </c>
      <c r="BL26" s="185">
        <f>BL14</f>
        <v>0</v>
      </c>
      <c r="BM26" s="185">
        <f>BM14</f>
        <v>0</v>
      </c>
      <c r="BN26" s="141"/>
      <c r="BO26" s="141">
        <f>BO14</f>
        <v>0</v>
      </c>
      <c r="BP26" s="188">
        <f>BP14</f>
        <v>0</v>
      </c>
      <c r="BQ26" s="188"/>
      <c r="BR26" s="188"/>
      <c r="BS26" s="144"/>
      <c r="BT26" s="144"/>
      <c r="CB26" s="301">
        <f>IF(E27&lt;&gt;0,1,0)</f>
        <v>1</v>
      </c>
      <c r="CE26" s="1" t="s">
        <v>426</v>
      </c>
    </row>
    <row r="27" spans="2:83" ht="25.05" customHeight="1" x14ac:dyDescent="0.3">
      <c r="B27" s="72" t="s">
        <v>112</v>
      </c>
      <c r="C27" s="15" t="s">
        <v>12</v>
      </c>
      <c r="D27" s="95">
        <v>0</v>
      </c>
      <c r="E27" s="16">
        <f>K4-IF(E31=0,0,IF(C31=BV27,E31,IF(C31=BV28,E31+2,E31+3)))-IF(E30=0,0,IF(C30=BV27,E30,IF(C30=BV28,E30+2,E30+3)))-IF(E29=0,0,IF(C29=BV27,E29,IF(C29=BV28,E29+2,E29+3)))-IF(E28=0,0,IF(C28=BV27,E28,IF(C28=BV28,E28+2,E28+3)))-44-IF(C27=BV28,2,IF(C27=BV29,3,0))-E5*CF6</f>
        <v>2493</v>
      </c>
      <c r="F27" s="73">
        <f>IF(C27=$BV$29,$K$5-63,IF(C27=$BV$28,$K$5-62,$K$5-60))</f>
        <v>1027</v>
      </c>
      <c r="G27" s="74">
        <f>$E$9</f>
        <v>3</v>
      </c>
      <c r="H27" s="75">
        <f>E27*F27*D27*G27/1000000</f>
        <v>0</v>
      </c>
      <c r="J27" s="490" t="s">
        <v>253</v>
      </c>
      <c r="K27" s="491"/>
      <c r="L27" s="491"/>
      <c r="M27" s="491"/>
      <c r="N27" s="206" t="s">
        <v>254</v>
      </c>
      <c r="O27" s="232">
        <f>IF(AND(O26&gt;0,E11=BV23),1,0)</f>
        <v>0</v>
      </c>
      <c r="P27" s="251"/>
      <c r="Q27" s="251"/>
      <c r="R27" s="262">
        <f>O27*Цены!J130</f>
        <v>0</v>
      </c>
      <c r="S27" s="243"/>
      <c r="T27" s="243"/>
      <c r="U27" s="447"/>
      <c r="V27" s="447"/>
      <c r="W27" s="447"/>
      <c r="X27" s="447"/>
      <c r="Y27" s="447"/>
      <c r="Z27" s="447"/>
      <c r="AA27" s="447"/>
      <c r="AB27" s="447"/>
      <c r="AC27" s="447"/>
      <c r="AD27" s="447"/>
      <c r="AE27" s="447"/>
      <c r="AF27" s="447"/>
      <c r="AG27" s="447"/>
      <c r="AH27" s="256"/>
      <c r="AI27" s="441"/>
      <c r="AJ27" s="441"/>
      <c r="AK27" s="441"/>
      <c r="AL27" s="441"/>
      <c r="AM27" s="441"/>
      <c r="AN27" s="441"/>
      <c r="AO27" s="441"/>
      <c r="AP27" s="441"/>
      <c r="AQ27" s="441"/>
      <c r="AR27" s="441"/>
      <c r="AS27" s="441"/>
      <c r="AT27" s="441"/>
      <c r="AU27" s="441"/>
      <c r="AV27" s="441"/>
      <c r="AW27" s="441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V27" s="65" t="s">
        <v>10</v>
      </c>
      <c r="CB27" s="301">
        <f>IF(E28&lt;&gt;0,1,0)</f>
        <v>0</v>
      </c>
      <c r="CE27" s="1" t="s">
        <v>527</v>
      </c>
    </row>
    <row r="28" spans="2:83" ht="25.05" customHeight="1" x14ac:dyDescent="0.3">
      <c r="B28" s="72" t="s">
        <v>113</v>
      </c>
      <c r="C28" s="15" t="s">
        <v>12</v>
      </c>
      <c r="D28" s="95">
        <v>0</v>
      </c>
      <c r="E28" s="17">
        <v>0</v>
      </c>
      <c r="F28" s="73">
        <f>IF(C28=$BV$29,$K$5-63,IF(C28=$BV$28,$K$5-62,$K$5-60))</f>
        <v>1027</v>
      </c>
      <c r="G28" s="74">
        <f>IF(E28&lt;&gt;0,$E$9,0)</f>
        <v>0</v>
      </c>
      <c r="H28" s="75">
        <f t="shared" ref="H28:H31" si="17">E28*F28*D28*G28/1000000</f>
        <v>0</v>
      </c>
      <c r="J28" s="496" t="s">
        <v>257</v>
      </c>
      <c r="K28" s="497"/>
      <c r="L28" s="497"/>
      <c r="M28" s="497"/>
      <c r="N28" s="206" t="s">
        <v>258</v>
      </c>
      <c r="O28" s="231">
        <f>IF(E8=BV11,E10-1,
IF(E8=BV12,E10-2,0))</f>
        <v>1</v>
      </c>
      <c r="P28" s="250"/>
      <c r="Q28" s="250"/>
      <c r="R28" s="262">
        <f>O28*Цены!J117</f>
        <v>210.59</v>
      </c>
      <c r="S28" s="243"/>
      <c r="BV28" s="65" t="s">
        <v>11</v>
      </c>
      <c r="CB28" s="301">
        <f>IF(E29&lt;&gt;0,1,0)</f>
        <v>0</v>
      </c>
      <c r="CE28" s="1" t="s">
        <v>525</v>
      </c>
    </row>
    <row r="29" spans="2:83" ht="25.05" customHeight="1" x14ac:dyDescent="0.3">
      <c r="B29" s="72" t="s">
        <v>114</v>
      </c>
      <c r="C29" s="15" t="s">
        <v>12</v>
      </c>
      <c r="D29" s="95">
        <v>0</v>
      </c>
      <c r="E29" s="17">
        <v>0</v>
      </c>
      <c r="F29" s="73">
        <f>IF(C29=$BV$29,$K$5-63,IF(C29=$BV$28,$K$5-62,$K$5-60))</f>
        <v>1027</v>
      </c>
      <c r="G29" s="74">
        <f>IF(E29&lt;&gt;0,$E$9,0)</f>
        <v>0</v>
      </c>
      <c r="H29" s="75">
        <f t="shared" si="17"/>
        <v>0</v>
      </c>
      <c r="J29" s="486" t="s">
        <v>42</v>
      </c>
      <c r="K29" s="487"/>
      <c r="L29" s="487"/>
      <c r="M29" s="487"/>
      <c r="N29" s="207" t="s">
        <v>227</v>
      </c>
      <c r="O29" s="231">
        <f>IF(OR(D15=BV83,E15="нет"),0,
IF(AND(E8=BV6,K5&gt;=900),2,
IF(AND(E8=BV6,K5&gt;=650,K5&lt;900),1,
IF(AND(E12=BV24,OR(E8=BV7,E8=BV8,E8=BV10,E8=BV14),K5&gt;=900),4,
IF(AND(E12=BV24,OR(E8=BV7,E8=BV8,E8=BV10,E8=BV14),K5&lt;900),2,
IF(AND(E12=BV23,OR(E8=BV7,E8=BV8,E8=BV10,E8=BV14)),2,
IF(AND(E8=BV9,K5&gt;=900),4,
IF(AND(E8=BV9,K5&gt;=650,K5&lt;900),2,
IF(AND(E8=BV13,K5&gt;=900),6,
IF(AND(E8=BV13,K5&gt;=650,K5&lt;900),3,
IF(E8=BV11,E9,
IF(E8=BV12,E9-1,0))))))))))))</f>
        <v>0</v>
      </c>
      <c r="P29" s="250"/>
      <c r="Q29" s="250"/>
      <c r="R29" s="262">
        <f>O29*Цены!J103</f>
        <v>0</v>
      </c>
      <c r="S29" s="243"/>
      <c r="T29" s="243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V29" s="65" t="s">
        <v>12</v>
      </c>
      <c r="CB29" s="301">
        <f>IF(E30&lt;&gt;0,1,0)</f>
        <v>0</v>
      </c>
    </row>
    <row r="30" spans="2:83" ht="25.05" customHeight="1" x14ac:dyDescent="0.3">
      <c r="B30" s="72" t="s">
        <v>115</v>
      </c>
      <c r="C30" s="15" t="s">
        <v>12</v>
      </c>
      <c r="D30" s="95">
        <v>0</v>
      </c>
      <c r="E30" s="17">
        <v>0</v>
      </c>
      <c r="F30" s="73">
        <f>IF(C30=$BV$29,$K$5-63,IF(C30=$BV$28,$K$5-62,$K$5-60))</f>
        <v>1027</v>
      </c>
      <c r="G30" s="74">
        <f>IF(E30&lt;&gt;0,$E$9,0)</f>
        <v>0</v>
      </c>
      <c r="H30" s="75">
        <f t="shared" si="17"/>
        <v>0</v>
      </c>
      <c r="J30" s="488" t="s">
        <v>63</v>
      </c>
      <c r="K30" s="489"/>
      <c r="L30" s="489"/>
      <c r="M30" s="489"/>
      <c r="N30" s="206" t="s">
        <v>224</v>
      </c>
      <c r="O30" s="232">
        <f>IF(OR(E8=BV6,E8=BV7),ROUNDUP(L10/500+1,0),0)</f>
        <v>0</v>
      </c>
      <c r="P30" s="251"/>
      <c r="Q30" s="251"/>
      <c r="R30" s="262">
        <f>O30*Цены!J148</f>
        <v>0</v>
      </c>
      <c r="S30" s="243"/>
      <c r="T30" s="243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3"/>
      <c r="AY30" s="3"/>
      <c r="AZ30" s="3"/>
      <c r="BA30" s="3"/>
      <c r="BB30" s="3"/>
      <c r="BC30" s="3"/>
      <c r="BD30" s="3"/>
      <c r="BE30" s="241" t="s">
        <v>524</v>
      </c>
      <c r="BF30" s="3"/>
      <c r="BG30" s="3"/>
      <c r="BH30" s="3"/>
      <c r="BI30" s="3"/>
      <c r="BJ30" s="3"/>
      <c r="BK30" s="3"/>
      <c r="BL30" s="3"/>
      <c r="CB30" s="301">
        <f>IF(E31&lt;&gt;0,1,0)</f>
        <v>0</v>
      </c>
    </row>
    <row r="31" spans="2:83" ht="25.05" customHeight="1" thickBot="1" x14ac:dyDescent="0.35">
      <c r="B31" s="80" t="s">
        <v>116</v>
      </c>
      <c r="C31" s="15" t="s">
        <v>12</v>
      </c>
      <c r="D31" s="95">
        <v>0</v>
      </c>
      <c r="E31" s="17">
        <v>0</v>
      </c>
      <c r="F31" s="73">
        <f>IF(C31=$BV$29,$K$5-63,IF(C31=$BV$28,$K$5-62,$K$5-60))</f>
        <v>1027</v>
      </c>
      <c r="G31" s="74">
        <f>IF(E31&lt;&gt;0,$E$9,0)</f>
        <v>0</v>
      </c>
      <c r="H31" s="75">
        <f t="shared" si="17"/>
        <v>0</v>
      </c>
      <c r="J31" s="488" t="s">
        <v>219</v>
      </c>
      <c r="K31" s="489"/>
      <c r="L31" s="489"/>
      <c r="M31" s="489"/>
      <c r="N31" s="206" t="s">
        <v>218</v>
      </c>
      <c r="O31" s="231">
        <f>IF(OR(E8=BV6,E8=BV7,E8=BV8),2,0)</f>
        <v>0</v>
      </c>
      <c r="P31" s="250"/>
      <c r="Q31" s="250"/>
      <c r="R31" s="262">
        <f>O31*Цены!J107</f>
        <v>0</v>
      </c>
      <c r="S31" s="243"/>
      <c r="T31" s="243"/>
      <c r="V31" s="322"/>
      <c r="W31" s="322"/>
      <c r="X31" s="322"/>
      <c r="Y31" s="322"/>
      <c r="Z31" s="322"/>
      <c r="AI31" s="443"/>
      <c r="AJ31" s="443"/>
      <c r="AK31" s="443"/>
      <c r="AL31" s="443"/>
      <c r="AM31" s="443"/>
      <c r="AN31" s="443"/>
      <c r="AO31" s="443"/>
      <c r="AP31" s="443"/>
      <c r="AQ31" s="443"/>
      <c r="AR31" s="443"/>
      <c r="AS31" s="443"/>
      <c r="AT31" s="443"/>
      <c r="AU31" s="443"/>
      <c r="AV31" s="443"/>
      <c r="AW31" s="443"/>
      <c r="AX31" s="144"/>
      <c r="AY31" s="54" t="s">
        <v>271</v>
      </c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</row>
    <row r="32" spans="2:83" ht="25.05" customHeight="1" thickBot="1" x14ac:dyDescent="0.35">
      <c r="B32" s="66"/>
      <c r="C32" s="67"/>
      <c r="D32" s="67"/>
      <c r="E32" s="502" t="s">
        <v>79</v>
      </c>
      <c r="F32" s="503"/>
      <c r="G32" s="504"/>
      <c r="H32" s="323">
        <f>SUM(H27:H31)</f>
        <v>0</v>
      </c>
      <c r="J32" s="496" t="s">
        <v>125</v>
      </c>
      <c r="K32" s="497"/>
      <c r="L32" s="497"/>
      <c r="M32" s="497"/>
      <c r="N32" s="206" t="s">
        <v>226</v>
      </c>
      <c r="O32" s="231">
        <f>IF(AND(E14=BV23,OR(E8=BV11,E8=BV6,E8=BV12)),1,IF(AND(OR(E8=BV9,E8=BV7,E8=BV8,E8=BV10,E8=BV14),E14=BV23),2,IF(AND(E8=BV13,E14=BV23),3,0)))</f>
        <v>0</v>
      </c>
      <c r="P32" s="250"/>
      <c r="Q32" s="250"/>
      <c r="R32" s="262">
        <f>O32*Цены!J152</f>
        <v>0</v>
      </c>
      <c r="S32" s="243"/>
      <c r="T32" s="243"/>
      <c r="U32" s="78"/>
      <c r="V32" s="78"/>
      <c r="W32" s="6"/>
      <c r="X32" s="78"/>
      <c r="Y32" s="78"/>
      <c r="Z32" s="78"/>
      <c r="AA32" s="78"/>
      <c r="AB32" s="78"/>
      <c r="AC32" s="78"/>
      <c r="AD32" s="78"/>
      <c r="AE32" s="78"/>
      <c r="AF32" s="78"/>
      <c r="AG32" s="78"/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78"/>
      <c r="AS32" s="78"/>
      <c r="AT32" s="78"/>
      <c r="AU32" s="78"/>
      <c r="AV32" s="78"/>
      <c r="AW32" s="78"/>
      <c r="AX32" s="3"/>
      <c r="AY32" s="146">
        <f>IF(C27=$BV$27,(F27*E27/1000000)*8,IF(C27=$BV$28,(F27*E27/1000000)*6.5,(F27*E27/1000000)*11))</f>
        <v>28.163421</v>
      </c>
      <c r="AZ32" s="96">
        <v>1000</v>
      </c>
      <c r="BA32" s="96">
        <v>1250</v>
      </c>
      <c r="BB32" s="96">
        <v>1800</v>
      </c>
      <c r="BC32" s="96">
        <v>2000</v>
      </c>
      <c r="BD32" s="96">
        <v>2500</v>
      </c>
      <c r="BE32" s="96">
        <v>2700</v>
      </c>
      <c r="BF32" s="96">
        <v>3000</v>
      </c>
      <c r="BG32" s="96">
        <v>3600</v>
      </c>
      <c r="BH32" s="96">
        <v>3750</v>
      </c>
      <c r="BI32" s="96">
        <v>4000</v>
      </c>
      <c r="BJ32" s="96">
        <v>5000</v>
      </c>
      <c r="BK32" s="142">
        <v>5400</v>
      </c>
      <c r="BL32" s="187"/>
      <c r="BM32" s="186"/>
      <c r="BN32" s="186"/>
      <c r="BO32" s="186"/>
      <c r="BP32" s="186"/>
      <c r="BQ32" s="186"/>
      <c r="BR32" s="186"/>
    </row>
    <row r="33" spans="1:74" ht="25.05" customHeight="1" x14ac:dyDescent="0.3">
      <c r="B33" s="66"/>
      <c r="C33" s="82" t="str">
        <f>IF((SUM(CB26:CB30)/C23)&lt;&gt;1,BV43,BV44)</f>
        <v>Верно внесены высоты вставок</v>
      </c>
      <c r="D33" s="329">
        <f>IF(C33=BV44,1,0)</f>
        <v>1</v>
      </c>
      <c r="E33" s="329"/>
      <c r="F33" s="329"/>
      <c r="G33" s="329"/>
      <c r="H33" s="68"/>
      <c r="J33" s="496" t="s">
        <v>228</v>
      </c>
      <c r="K33" s="497"/>
      <c r="L33" s="497"/>
      <c r="M33" s="497"/>
      <c r="N33" s="206" t="s">
        <v>195</v>
      </c>
      <c r="O33" s="231">
        <f>M13*2+M14*2</f>
        <v>12</v>
      </c>
      <c r="P33" s="250"/>
      <c r="Q33" s="250"/>
      <c r="R33" s="262">
        <f>O33*Цены!J184</f>
        <v>124.80000000000001</v>
      </c>
      <c r="S33" s="243"/>
      <c r="T33" s="243"/>
      <c r="U33" s="78"/>
      <c r="V33" s="78"/>
      <c r="W33" s="78"/>
      <c r="X33" s="78"/>
      <c r="Y33" s="78"/>
      <c r="Z33" s="78"/>
      <c r="AA33" s="78"/>
      <c r="AB33" s="78"/>
      <c r="AC33" s="78"/>
      <c r="AD33" s="78"/>
      <c r="AE33" s="78"/>
      <c r="AF33" s="78"/>
      <c r="AG33" s="78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78"/>
      <c r="AS33" s="78"/>
      <c r="AT33" s="78"/>
      <c r="AU33" s="78"/>
      <c r="AV33" s="78"/>
      <c r="AW33" s="78"/>
      <c r="AX33" s="3"/>
      <c r="AY33" s="146">
        <f>IF(C28=$BV$27,(F28*E28/1000000)*8,IF(C28=$BV$28,(F28*E28/1000000)*6.5,(F28*E28/1000000)*11))</f>
        <v>0</v>
      </c>
      <c r="AZ33" s="141">
        <v>0</v>
      </c>
      <c r="BA33" s="141">
        <v>0</v>
      </c>
      <c r="BB33" s="141">
        <v>0</v>
      </c>
      <c r="BC33" s="141">
        <v>0</v>
      </c>
      <c r="BD33" s="141">
        <v>0</v>
      </c>
      <c r="BE33" s="141">
        <v>0</v>
      </c>
      <c r="BF33" s="141">
        <v>0</v>
      </c>
      <c r="BG33" s="141">
        <v>0</v>
      </c>
      <c r="BH33" s="141">
        <v>0</v>
      </c>
      <c r="BI33" s="141">
        <v>0</v>
      </c>
      <c r="BJ33" s="141">
        <v>0</v>
      </c>
      <c r="BK33" s="315">
        <f>BK9</f>
        <v>3</v>
      </c>
      <c r="BL33" s="141"/>
      <c r="BM33" s="188"/>
      <c r="BN33" s="188"/>
      <c r="BO33" s="188"/>
      <c r="BP33" s="188"/>
      <c r="BQ33" s="188"/>
      <c r="BR33" s="188"/>
      <c r="BV33" s="79" t="s">
        <v>117</v>
      </c>
    </row>
    <row r="34" spans="1:74" ht="25.05" customHeight="1" x14ac:dyDescent="0.3">
      <c r="B34" s="66"/>
      <c r="C34" s="67"/>
      <c r="D34" s="67"/>
      <c r="E34" s="67"/>
      <c r="F34" s="67"/>
      <c r="G34" s="67"/>
      <c r="H34" s="68"/>
      <c r="J34" s="496" t="s">
        <v>82</v>
      </c>
      <c r="K34" s="497"/>
      <c r="L34" s="497"/>
      <c r="M34" s="497"/>
      <c r="N34" s="206" t="s">
        <v>261</v>
      </c>
      <c r="O34" s="233">
        <f>ROUNDUP((IF(C27=BV28,(E27+F27)*2*G27,0)+IF(C28=BV28,(E28+F28)*2*G28,0)+IF(C29=BV28,(E29+F29)*2*G29,0)+IF(C30=BV28,(E30+F30)*2*G30,0)+IF(C31=BV28,(E31+F31)*2*G31,0))/1000,0)</f>
        <v>0</v>
      </c>
      <c r="P34" s="252"/>
      <c r="Q34" s="252"/>
      <c r="R34" s="262">
        <f>O34*Цены!J177</f>
        <v>0</v>
      </c>
      <c r="S34" s="243"/>
      <c r="T34" s="243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3"/>
      <c r="AY34" s="146">
        <f>IF(C29=$BV$27,(F29*E29/1000000)*8,IF(C29=$BV$28,(F29*E29/1000000)*6.5,(F29*E29/1000000)*11))</f>
        <v>0</v>
      </c>
      <c r="AZ34" s="143">
        <v>0</v>
      </c>
      <c r="BA34" s="143">
        <v>0</v>
      </c>
      <c r="BB34" s="143">
        <v>0</v>
      </c>
      <c r="BC34" s="143">
        <v>0</v>
      </c>
      <c r="BD34" s="141">
        <f>$BD$10</f>
        <v>0</v>
      </c>
      <c r="BE34" s="143">
        <v>0</v>
      </c>
      <c r="BF34" s="143">
        <v>0</v>
      </c>
      <c r="BG34" s="143">
        <v>0</v>
      </c>
      <c r="BH34" s="143">
        <v>0</v>
      </c>
      <c r="BI34" s="143">
        <v>0</v>
      </c>
      <c r="BJ34" s="141">
        <f>$BJ$10</f>
        <v>3</v>
      </c>
      <c r="BK34" s="143">
        <v>0</v>
      </c>
      <c r="BL34" s="185">
        <f>$BL$10</f>
        <v>0</v>
      </c>
      <c r="BM34" s="185">
        <f>$BM$10</f>
        <v>3</v>
      </c>
      <c r="BN34" s="141"/>
      <c r="BO34" s="141"/>
      <c r="BP34" s="141"/>
      <c r="BQ34" s="141"/>
      <c r="BR34" s="141"/>
      <c r="BV34" s="79" t="s">
        <v>94</v>
      </c>
    </row>
    <row r="35" spans="1:74" ht="25.05" customHeight="1" x14ac:dyDescent="0.3">
      <c r="B35" s="66"/>
      <c r="C35" s="84"/>
      <c r="D35" s="84"/>
      <c r="E35" s="85"/>
      <c r="F35" s="85"/>
      <c r="G35" s="85"/>
      <c r="H35" s="68"/>
      <c r="J35" s="496" t="s">
        <v>84</v>
      </c>
      <c r="K35" s="497"/>
      <c r="L35" s="497"/>
      <c r="M35" s="497"/>
      <c r="N35" s="206" t="s">
        <v>196</v>
      </c>
      <c r="O35" s="233">
        <f>ROUNDUP((IF(C27=BV29,(E27+F27)*2*G27,0)+IF(C28=BV29,(E28+F28)*2*G28,0)+IF(C29=BV29,(E29+F29)*2*G29,0)+IF(C30=BV29,(E30+F30)*2*G30,0)+IF(C31=BV29,(E31+F31)*2*G31,0))/1000,0)</f>
        <v>22</v>
      </c>
      <c r="P35" s="252"/>
      <c r="Q35" s="252"/>
      <c r="R35" s="262">
        <f>O35*Цены!J178</f>
        <v>975.26</v>
      </c>
      <c r="S35" s="243"/>
      <c r="T35" s="243"/>
      <c r="U35" s="78"/>
      <c r="V35" s="78"/>
      <c r="W35" s="78"/>
      <c r="X35" s="78"/>
      <c r="Y35" s="78"/>
      <c r="Z35" s="78"/>
      <c r="AA35" s="78"/>
      <c r="AB35" s="78"/>
      <c r="AC35" s="78"/>
      <c r="AD35" s="78"/>
      <c r="AE35" s="78"/>
      <c r="AF35" s="78"/>
      <c r="AG35" s="78"/>
      <c r="AH35" s="78"/>
      <c r="AI35" s="78"/>
      <c r="AJ35" s="78"/>
      <c r="AK35" s="78"/>
      <c r="AL35" s="78"/>
      <c r="AM35" s="78"/>
      <c r="AN35" s="78"/>
      <c r="AO35" s="78"/>
      <c r="AP35" s="78"/>
      <c r="AQ35" s="78"/>
      <c r="AR35" s="78"/>
      <c r="AS35" s="78"/>
      <c r="AT35" s="78"/>
      <c r="AU35" s="78"/>
      <c r="AV35" s="78"/>
      <c r="AW35" s="78"/>
      <c r="AX35" s="3"/>
      <c r="AY35" s="146">
        <f>IF(C30=$BV$27,(F30*E30/1000000)*8,IF(C30=$BV$28,(F30*E30/1000000)*6.5,(F30*E30/1000000)*11))</f>
        <v>0</v>
      </c>
      <c r="AZ35" s="143">
        <v>0</v>
      </c>
      <c r="BA35" s="143">
        <v>0</v>
      </c>
      <c r="BB35" s="143">
        <v>0</v>
      </c>
      <c r="BC35" s="143">
        <v>0</v>
      </c>
      <c r="BD35" s="141">
        <f>$BD$11</f>
        <v>0</v>
      </c>
      <c r="BE35" s="143">
        <v>0</v>
      </c>
      <c r="BF35" s="143">
        <v>0</v>
      </c>
      <c r="BG35" s="143">
        <v>0</v>
      </c>
      <c r="BH35" s="143">
        <v>0</v>
      </c>
      <c r="BI35" s="143">
        <v>0</v>
      </c>
      <c r="BJ35" s="141">
        <f>$BJ$11</f>
        <v>2</v>
      </c>
      <c r="BK35" s="143">
        <v>0</v>
      </c>
      <c r="BL35" s="185">
        <f>$BL$11</f>
        <v>0</v>
      </c>
      <c r="BM35" s="185">
        <f>$BM$11</f>
        <v>2</v>
      </c>
      <c r="BN35" s="141"/>
      <c r="BO35" s="141"/>
      <c r="BP35" s="188"/>
      <c r="BQ35" s="188"/>
      <c r="BR35" s="188"/>
    </row>
    <row r="36" spans="1:74" ht="25.05" customHeight="1" thickBot="1" x14ac:dyDescent="0.35">
      <c r="B36" s="66"/>
      <c r="C36" s="67"/>
      <c r="D36" s="67"/>
      <c r="E36" s="67"/>
      <c r="F36" s="67"/>
      <c r="G36" s="67"/>
      <c r="H36" s="68"/>
      <c r="J36" s="496" t="s">
        <v>80</v>
      </c>
      <c r="K36" s="497"/>
      <c r="L36" s="497"/>
      <c r="M36" s="497"/>
      <c r="N36" s="206" t="s">
        <v>197</v>
      </c>
      <c r="O36" s="231">
        <f>IF(E13=BV36,O33,0)</f>
        <v>0</v>
      </c>
      <c r="P36" s="250"/>
      <c r="Q36" s="250"/>
      <c r="R36" s="262">
        <f>O36*Цены!J171</f>
        <v>0</v>
      </c>
      <c r="S36" s="243"/>
      <c r="T36" s="243"/>
      <c r="U36" s="78"/>
      <c r="V36" s="78"/>
      <c r="W36" s="78"/>
      <c r="X36" s="78"/>
      <c r="Y36" s="78"/>
      <c r="Z36" s="78"/>
      <c r="AA36" s="78"/>
      <c r="AB36" s="78"/>
      <c r="AC36" s="78"/>
      <c r="AD36" s="78"/>
      <c r="AE36" s="78"/>
      <c r="AF36" s="78"/>
      <c r="AG36" s="78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U36" s="78"/>
      <c r="AV36" s="78"/>
      <c r="AW36" s="78"/>
      <c r="AX36" s="3"/>
      <c r="AY36" s="146">
        <f>IF(C31=$BV$27,(F31*E31/1000000)*8,IF(C31=$BV$28,(F31*E31/1000000)*6.5,(F31*E31/1000000)*11))</f>
        <v>0</v>
      </c>
      <c r="AZ36" s="141"/>
      <c r="BA36" s="141"/>
      <c r="BB36" s="141"/>
      <c r="BC36" s="141"/>
      <c r="BD36" s="141"/>
      <c r="BE36" s="141"/>
      <c r="BF36" s="141"/>
      <c r="BG36" s="141"/>
      <c r="BH36" s="141"/>
      <c r="BI36" s="141"/>
      <c r="BJ36" s="141"/>
      <c r="BK36" s="141"/>
      <c r="BL36" s="185"/>
      <c r="BM36" s="185"/>
      <c r="BN36" s="141"/>
      <c r="BO36" s="141"/>
      <c r="BP36" s="188"/>
      <c r="BQ36" s="188"/>
      <c r="BR36" s="188"/>
      <c r="BV36" s="1" t="s">
        <v>80</v>
      </c>
    </row>
    <row r="37" spans="1:74" ht="25.05" customHeight="1" thickBot="1" x14ac:dyDescent="0.35">
      <c r="B37" s="66"/>
      <c r="C37" s="85" t="str">
        <f>IF(AND(SUM(CB26:CB30)/C23=1,E31=0,C23&lt;&gt;1),BV47,BV48)</f>
        <v xml:space="preserve"> </v>
      </c>
      <c r="D37" s="85"/>
      <c r="E37" s="85"/>
      <c r="F37" s="85"/>
      <c r="G37" s="85"/>
      <c r="H37" s="68"/>
      <c r="J37" s="496" t="s">
        <v>166</v>
      </c>
      <c r="K37" s="497"/>
      <c r="L37" s="497"/>
      <c r="M37" s="497"/>
      <c r="N37" s="208" t="s">
        <v>198</v>
      </c>
      <c r="O37" s="339">
        <f>IF(E13=BV37,O33,0)</f>
        <v>0</v>
      </c>
      <c r="P37" s="249"/>
      <c r="Q37" s="249"/>
      <c r="R37" s="262">
        <f>O37*Цены!J132</f>
        <v>0</v>
      </c>
      <c r="S37" s="243"/>
      <c r="T37" s="243"/>
      <c r="U37" s="78"/>
      <c r="V37" s="78"/>
      <c r="W37" s="78"/>
      <c r="X37" s="78"/>
      <c r="Y37" s="78"/>
      <c r="Z37" s="78"/>
      <c r="AA37" s="78"/>
      <c r="AB37" s="78"/>
      <c r="AC37" s="78"/>
      <c r="AD37" s="78"/>
      <c r="AE37" s="78"/>
      <c r="AF37" s="78"/>
      <c r="AG37" s="78"/>
      <c r="AH37" s="78"/>
      <c r="AI37" s="78"/>
      <c r="AJ37" s="78"/>
      <c r="AK37" s="78"/>
      <c r="AL37" s="78"/>
      <c r="AM37" s="78"/>
      <c r="AN37" s="78"/>
      <c r="AO37" s="78"/>
      <c r="AP37" s="78"/>
      <c r="AQ37" s="78"/>
      <c r="AR37" s="78"/>
      <c r="AS37" s="78"/>
      <c r="AT37" s="78"/>
      <c r="AU37" s="78"/>
      <c r="AV37" s="78"/>
      <c r="AW37" s="78"/>
      <c r="AX37" s="3"/>
      <c r="AY37" s="147">
        <f>SUM(AY32:AY36)</f>
        <v>28.163421</v>
      </c>
      <c r="AZ37" s="143">
        <v>0</v>
      </c>
      <c r="BA37" s="143">
        <v>0</v>
      </c>
      <c r="BB37" s="143">
        <v>0</v>
      </c>
      <c r="BC37" s="143">
        <v>0</v>
      </c>
      <c r="BD37" s="141">
        <f>IF(AND(BL37&gt;0,BL37&lt;=2500),1,0)</f>
        <v>1</v>
      </c>
      <c r="BE37" s="143">
        <v>0</v>
      </c>
      <c r="BF37" s="143">
        <v>0</v>
      </c>
      <c r="BG37" s="143">
        <v>0</v>
      </c>
      <c r="BH37" s="143">
        <v>0</v>
      </c>
      <c r="BI37" s="143">
        <v>0</v>
      </c>
      <c r="BJ37" s="141">
        <f>IF(AND(BL37&gt;2500,BL37&lt;=4950),BM37+1,BM37)</f>
        <v>1</v>
      </c>
      <c r="BK37" s="143">
        <v>0</v>
      </c>
      <c r="BL37" s="185">
        <f t="shared" ref="BL37:BM37" si="18">BL25</f>
        <v>2024</v>
      </c>
      <c r="BM37" s="185">
        <f t="shared" si="18"/>
        <v>1</v>
      </c>
      <c r="BN37" s="141"/>
      <c r="BO37" s="141"/>
      <c r="BP37" s="188"/>
      <c r="BQ37" s="188"/>
      <c r="BR37" s="189"/>
      <c r="BV37" s="83" t="s">
        <v>159</v>
      </c>
    </row>
    <row r="38" spans="1:74" ht="25.05" customHeight="1" x14ac:dyDescent="0.3">
      <c r="B38" s="66"/>
      <c r="C38" s="67"/>
      <c r="D38" s="67"/>
      <c r="E38" s="67"/>
      <c r="F38" s="67"/>
      <c r="G38" s="67"/>
      <c r="H38" s="68"/>
      <c r="J38" s="490" t="s">
        <v>76</v>
      </c>
      <c r="K38" s="491"/>
      <c r="L38" s="491"/>
      <c r="M38" s="491"/>
      <c r="N38" s="206" t="s">
        <v>199</v>
      </c>
      <c r="O38" s="234">
        <f>IF(E13=BV39,ROUNDUP(L9*M9/1000,0),0)</f>
        <v>0</v>
      </c>
      <c r="P38" s="253"/>
      <c r="Q38" s="253"/>
      <c r="R38" s="262">
        <f>O38*Цены!J161</f>
        <v>0</v>
      </c>
      <c r="S38" s="243"/>
      <c r="T38" s="243"/>
      <c r="U38" s="78"/>
      <c r="V38" s="78"/>
      <c r="W38" s="78"/>
      <c r="X38" s="78"/>
      <c r="Y38" s="78"/>
      <c r="Z38" s="78"/>
      <c r="AA38" s="78"/>
      <c r="AB38" s="78"/>
      <c r="AC38" s="78"/>
      <c r="AD38" s="78"/>
      <c r="AE38" s="78"/>
      <c r="AF38" s="78"/>
      <c r="AG38" s="78"/>
      <c r="AH38" s="78"/>
      <c r="AI38" s="78"/>
      <c r="AJ38" s="78"/>
      <c r="AK38" s="78"/>
      <c r="AL38" s="78"/>
      <c r="AM38" s="78"/>
      <c r="AN38" s="78"/>
      <c r="AO38" s="78"/>
      <c r="AP38" s="78"/>
      <c r="AQ38" s="78"/>
      <c r="AR38" s="78"/>
      <c r="AS38" s="78"/>
      <c r="AT38" s="78"/>
      <c r="AU38" s="78"/>
      <c r="AV38" s="78"/>
      <c r="AW38" s="78"/>
      <c r="AX38" s="3"/>
      <c r="AY38" s="146"/>
      <c r="AZ38" s="143">
        <v>0</v>
      </c>
      <c r="BA38" s="143">
        <v>0</v>
      </c>
      <c r="BB38" s="143">
        <v>0</v>
      </c>
      <c r="BC38" s="143">
        <v>0</v>
      </c>
      <c r="BD38" s="190">
        <f>IF(AND(J14=CD7,BL38&gt;0,BL38&lt;=2500),1,0)</f>
        <v>0</v>
      </c>
      <c r="BE38" s="191">
        <f>IF(AND(J14=CD6,BO38&gt;0,BO38&lt;=2700),1,0)</f>
        <v>0</v>
      </c>
      <c r="BF38" s="143">
        <v>0</v>
      </c>
      <c r="BG38" s="143">
        <v>0</v>
      </c>
      <c r="BH38" s="143">
        <v>0</v>
      </c>
      <c r="BI38" s="143">
        <v>0</v>
      </c>
      <c r="BJ38" s="190">
        <f>IF(AND(J14=CD7,BL38&gt;2500,BL38&lt;=4950),BM38+1,BM38)</f>
        <v>0</v>
      </c>
      <c r="BK38" s="191">
        <f>IF(AND(J14=CD6,BO38&gt;2700,BO38&lt;=5350),BP38+1,BP38)</f>
        <v>0</v>
      </c>
      <c r="BL38" s="185">
        <f>BL26</f>
        <v>0</v>
      </c>
      <c r="BM38" s="185">
        <f>BM26</f>
        <v>0</v>
      </c>
      <c r="BN38" s="141"/>
      <c r="BO38" s="141">
        <f>BO26</f>
        <v>0</v>
      </c>
      <c r="BP38" s="188">
        <f>BP26</f>
        <v>0</v>
      </c>
      <c r="BQ38" s="188"/>
      <c r="BR38" s="188"/>
      <c r="BV38" s="83" t="s">
        <v>129</v>
      </c>
    </row>
    <row r="39" spans="1:74" ht="25.05" customHeight="1" x14ac:dyDescent="0.3">
      <c r="B39" s="66"/>
      <c r="C39" s="67"/>
      <c r="D39" s="67"/>
      <c r="E39" s="67"/>
      <c r="F39" s="67"/>
      <c r="G39" s="67"/>
      <c r="H39" s="68"/>
      <c r="J39" s="490" t="s">
        <v>129</v>
      </c>
      <c r="K39" s="491"/>
      <c r="L39" s="491"/>
      <c r="M39" s="491"/>
      <c r="N39" s="206" t="s">
        <v>200</v>
      </c>
      <c r="O39" s="234">
        <f>IF(E13=BV38,ROUNDUP(L9*M9/1000,0),0)</f>
        <v>16</v>
      </c>
      <c r="P39" s="253"/>
      <c r="Q39" s="253"/>
      <c r="R39" s="262">
        <f>O39*Цены!J180</f>
        <v>421.12</v>
      </c>
      <c r="S39" s="243"/>
      <c r="T39" s="243"/>
      <c r="U39" s="78"/>
      <c r="V39" s="78"/>
      <c r="W39" s="78"/>
      <c r="X39" s="78"/>
      <c r="Y39" s="78"/>
      <c r="Z39" s="78"/>
      <c r="AA39" s="78"/>
      <c r="AB39" s="78"/>
      <c r="AC39" s="78"/>
      <c r="AD39" s="78"/>
      <c r="AE39" s="78"/>
      <c r="AF39" s="78"/>
      <c r="AG39" s="78"/>
      <c r="AH39" s="78"/>
      <c r="AI39" s="78"/>
      <c r="AJ39" s="78"/>
      <c r="AK39" s="78"/>
      <c r="AL39" s="78"/>
      <c r="AM39" s="78"/>
      <c r="AN39" s="78"/>
      <c r="AO39" s="78"/>
      <c r="AP39" s="78"/>
      <c r="AQ39" s="78"/>
      <c r="AR39" s="78"/>
      <c r="AS39" s="78"/>
      <c r="AT39" s="78"/>
      <c r="AU39" s="78"/>
      <c r="AV39" s="78"/>
      <c r="AW39" s="78"/>
      <c r="AX39" s="3"/>
      <c r="AY39" s="146"/>
      <c r="AZ39" s="3"/>
      <c r="BA39" s="3"/>
      <c r="BB39" s="3"/>
      <c r="BC39" s="3"/>
      <c r="BD39" s="3"/>
      <c r="BE39" s="3"/>
      <c r="BF39" s="3"/>
      <c r="BG39" s="3"/>
      <c r="BH39" s="3"/>
      <c r="BI39" s="5"/>
      <c r="BJ39" s="5"/>
      <c r="BK39" s="5"/>
      <c r="BL39" s="5"/>
      <c r="BV39" s="1" t="s">
        <v>76</v>
      </c>
    </row>
    <row r="40" spans="1:74" ht="25.05" customHeight="1" x14ac:dyDescent="0.35">
      <c r="B40" s="86"/>
      <c r="C40" s="87"/>
      <c r="D40" s="329"/>
      <c r="E40" s="329"/>
      <c r="F40" s="329"/>
      <c r="G40" s="6"/>
      <c r="H40" s="13"/>
      <c r="J40" s="490" t="s">
        <v>161</v>
      </c>
      <c r="K40" s="491"/>
      <c r="L40" s="491"/>
      <c r="M40" s="491"/>
      <c r="N40" s="293" t="s">
        <v>201</v>
      </c>
      <c r="O40" s="232">
        <f>IF(O39&gt;0,M9*2,0)</f>
        <v>12</v>
      </c>
      <c r="P40" s="251"/>
      <c r="Q40" s="251"/>
      <c r="R40" s="262">
        <f>O40*Цены!J176</f>
        <v>215.52</v>
      </c>
      <c r="S40" s="243"/>
      <c r="T40" s="243"/>
      <c r="U40" s="78"/>
      <c r="V40" s="78"/>
      <c r="W40" s="78"/>
      <c r="X40" s="78"/>
      <c r="Y40" s="78"/>
      <c r="Z40" s="78"/>
      <c r="AA40" s="78"/>
      <c r="AB40" s="78"/>
      <c r="AC40" s="78"/>
      <c r="AD40" s="78"/>
      <c r="AE40" s="78"/>
      <c r="AF40" s="78"/>
      <c r="AG40" s="78"/>
      <c r="AH40" s="78"/>
      <c r="AI40" s="78"/>
      <c r="AJ40" s="78"/>
      <c r="AK40" s="78"/>
      <c r="AL40" s="78"/>
      <c r="AM40" s="78"/>
      <c r="AN40" s="78"/>
      <c r="AO40" s="78"/>
      <c r="AP40" s="78"/>
      <c r="AQ40" s="78"/>
      <c r="AR40" s="78"/>
      <c r="AS40" s="78"/>
      <c r="AT40" s="78"/>
      <c r="AU40" s="78"/>
      <c r="AV40" s="78"/>
      <c r="AW40" s="78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5"/>
      <c r="BJ40" s="5"/>
      <c r="BK40" s="5"/>
      <c r="BL40" s="5"/>
      <c r="BV40" s="6"/>
    </row>
    <row r="41" spans="1:74" ht="25.05" customHeight="1" x14ac:dyDescent="0.3">
      <c r="B41" s="12"/>
      <c r="C41" s="6"/>
      <c r="D41" s="6"/>
      <c r="E41" s="6"/>
      <c r="F41" s="6"/>
      <c r="G41" s="6"/>
      <c r="H41" s="13"/>
      <c r="J41" s="490" t="s">
        <v>162</v>
      </c>
      <c r="K41" s="491"/>
      <c r="L41" s="491"/>
      <c r="M41" s="491"/>
      <c r="N41" s="206" t="s">
        <v>230</v>
      </c>
      <c r="O41" s="232">
        <f>E16</f>
        <v>0</v>
      </c>
      <c r="P41" s="251"/>
      <c r="Q41" s="251"/>
      <c r="R41" s="262">
        <f>O41*Цены!J146</f>
        <v>0</v>
      </c>
      <c r="S41" s="243"/>
      <c r="T41" s="243"/>
      <c r="U41" s="78"/>
      <c r="V41" s="78"/>
      <c r="W41" s="78"/>
      <c r="X41" s="78"/>
      <c r="Y41" s="78"/>
      <c r="Z41" s="78"/>
      <c r="AA41" s="78"/>
      <c r="AB41" s="78"/>
      <c r="AC41" s="78"/>
      <c r="AD41" s="78"/>
      <c r="AE41" s="78"/>
      <c r="AF41" s="78"/>
      <c r="AG41" s="78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78"/>
      <c r="AX41" s="3"/>
      <c r="AY41" s="3"/>
      <c r="AZ41" s="3"/>
      <c r="BA41" s="3"/>
      <c r="BB41" s="3"/>
      <c r="BC41" s="3"/>
      <c r="BD41" s="3"/>
      <c r="BE41" s="241" t="s">
        <v>525</v>
      </c>
      <c r="BF41" s="3"/>
      <c r="BG41" s="3"/>
      <c r="BH41" s="3"/>
      <c r="BI41" s="3"/>
      <c r="BJ41" s="3"/>
      <c r="BK41" s="3"/>
      <c r="BL41" s="3"/>
    </row>
    <row r="42" spans="1:74" ht="25.05" customHeight="1" x14ac:dyDescent="0.3">
      <c r="B42" s="12"/>
      <c r="C42" s="6"/>
      <c r="D42" s="6"/>
      <c r="E42" s="6"/>
      <c r="F42" s="6"/>
      <c r="G42" s="6"/>
      <c r="H42" s="13"/>
      <c r="J42" s="546" t="s">
        <v>476</v>
      </c>
      <c r="K42" s="547"/>
      <c r="L42" s="547"/>
      <c r="M42" s="547"/>
      <c r="N42" s="236" t="s">
        <v>477</v>
      </c>
      <c r="O42" s="339">
        <f>E17</f>
        <v>1</v>
      </c>
      <c r="P42" s="251"/>
      <c r="Q42" s="251"/>
      <c r="R42" s="262">
        <f>O42*Цены!J185</f>
        <v>797.31</v>
      </c>
      <c r="S42" s="243"/>
      <c r="T42" s="243"/>
      <c r="U42" s="78"/>
      <c r="V42" s="78"/>
      <c r="W42" s="78"/>
      <c r="X42" s="78"/>
      <c r="Y42" s="78"/>
      <c r="Z42" s="78"/>
      <c r="AA42" s="78"/>
      <c r="AB42" s="78"/>
      <c r="AC42" s="78"/>
      <c r="AD42" s="78"/>
      <c r="AE42" s="78"/>
      <c r="AF42" s="78"/>
      <c r="AG42" s="78"/>
      <c r="AH42" s="78"/>
      <c r="AI42" s="78"/>
      <c r="AJ42" s="78"/>
      <c r="AK42" s="78"/>
      <c r="AL42" s="78"/>
      <c r="AM42" s="78"/>
      <c r="AN42" s="78"/>
      <c r="AO42" s="78"/>
      <c r="AP42" s="78"/>
      <c r="AQ42" s="78"/>
      <c r="AR42" s="78"/>
      <c r="AS42" s="78"/>
      <c r="AT42" s="78"/>
      <c r="AU42" s="78"/>
      <c r="AV42" s="78"/>
      <c r="AW42" s="78"/>
      <c r="AX42" s="5"/>
      <c r="AY42" s="5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</row>
    <row r="43" spans="1:74" ht="25.05" customHeight="1" x14ac:dyDescent="0.3">
      <c r="B43" s="12"/>
      <c r="C43" s="6"/>
      <c r="D43" s="6"/>
      <c r="E43" s="6"/>
      <c r="F43" s="6"/>
      <c r="G43" s="6"/>
      <c r="H43" s="13"/>
      <c r="J43" s="490" t="s">
        <v>163</v>
      </c>
      <c r="K43" s="491"/>
      <c r="L43" s="491"/>
      <c r="M43" s="491"/>
      <c r="N43" s="206" t="s">
        <v>232</v>
      </c>
      <c r="O43" s="232">
        <f>IF(OR(OR(E8=BV6,E8=BV9,E8=BV11,E8=BV12,E8=BV13),E18="нет"),0,
IF(OR(E8=BV7,E8=BV8,E8=BV10,E8=BV14),1,0))</f>
        <v>0</v>
      </c>
      <c r="P43" s="251"/>
      <c r="Q43" s="251"/>
      <c r="R43" s="262">
        <f>O44*Цены!J111</f>
        <v>0</v>
      </c>
      <c r="S43" s="243"/>
      <c r="T43" s="243"/>
      <c r="U43" s="78"/>
      <c r="V43" s="78"/>
      <c r="W43" s="78"/>
      <c r="X43" s="78"/>
      <c r="Y43" s="78"/>
      <c r="Z43" s="78"/>
      <c r="AA43" s="78"/>
      <c r="AB43" s="78"/>
      <c r="AC43" s="78"/>
      <c r="AD43" s="78"/>
      <c r="AE43" s="78"/>
      <c r="AF43" s="78"/>
      <c r="AG43" s="78"/>
      <c r="AH43" s="78"/>
      <c r="AI43" s="78"/>
      <c r="AJ43" s="78"/>
      <c r="AK43" s="78"/>
      <c r="AL43" s="78"/>
      <c r="AM43" s="78"/>
      <c r="AN43" s="78"/>
      <c r="AO43" s="78"/>
      <c r="AP43" s="78"/>
      <c r="AQ43" s="78"/>
      <c r="AR43" s="78"/>
      <c r="AS43" s="78"/>
      <c r="AT43" s="78"/>
      <c r="AU43" s="78"/>
      <c r="AV43" s="78"/>
      <c r="AW43" s="78"/>
      <c r="AX43" s="5"/>
      <c r="AY43" s="5"/>
      <c r="AZ43" s="96">
        <v>1000</v>
      </c>
      <c r="BA43" s="96">
        <v>1250</v>
      </c>
      <c r="BB43" s="96">
        <v>1800</v>
      </c>
      <c r="BC43" s="96">
        <v>2000</v>
      </c>
      <c r="BD43" s="96">
        <v>2500</v>
      </c>
      <c r="BE43" s="96">
        <v>2700</v>
      </c>
      <c r="BF43" s="96">
        <v>3000</v>
      </c>
      <c r="BG43" s="96">
        <v>3600</v>
      </c>
      <c r="BH43" s="96">
        <v>3750</v>
      </c>
      <c r="BI43" s="96">
        <v>4000</v>
      </c>
      <c r="BJ43" s="96">
        <v>5000</v>
      </c>
      <c r="BK43" s="142">
        <v>5400</v>
      </c>
      <c r="BL43" s="187"/>
      <c r="BM43" s="186"/>
      <c r="BN43" s="186"/>
      <c r="BO43" s="186"/>
      <c r="BP43" s="186"/>
      <c r="BQ43" s="186"/>
      <c r="BR43" s="186"/>
      <c r="BV43" s="79" t="s">
        <v>118</v>
      </c>
    </row>
    <row r="44" spans="1:74" ht="25.05" customHeight="1" thickBot="1" x14ac:dyDescent="0.35">
      <c r="B44" s="12"/>
      <c r="C44" s="6"/>
      <c r="D44" s="6"/>
      <c r="E44" s="6"/>
      <c r="F44" s="6"/>
      <c r="G44" s="6"/>
      <c r="H44" s="13"/>
      <c r="J44" s="490" t="s">
        <v>164</v>
      </c>
      <c r="K44" s="491"/>
      <c r="L44" s="491"/>
      <c r="M44" s="491"/>
      <c r="N44" s="206" t="s">
        <v>231</v>
      </c>
      <c r="O44" s="232">
        <f>IF(E19=BV24,0,
IF(E8=BV9,1,
IF(E8=BV13,2,
IF(AND(OR(E8=BV11,E8=BV12),E11=BV23),1,
IF(AND(E8=BV12,E11=BV24),E10-1,0)))))</f>
        <v>0</v>
      </c>
      <c r="P44" s="250"/>
      <c r="Q44" s="250"/>
      <c r="R44" s="262">
        <f>O45*Цены!J167</f>
        <v>0</v>
      </c>
      <c r="S44" s="257"/>
      <c r="T44" s="257"/>
      <c r="U44" s="78"/>
      <c r="V44" s="78"/>
      <c r="W44" s="78"/>
      <c r="X44" s="78"/>
      <c r="Y44" s="78"/>
      <c r="Z44" s="78"/>
      <c r="AA44" s="78"/>
      <c r="AB44" s="78"/>
      <c r="AC44" s="78"/>
      <c r="AD44" s="78"/>
      <c r="AE44" s="78"/>
      <c r="AF44" s="78"/>
      <c r="AG44" s="78"/>
      <c r="AH44" s="78"/>
      <c r="AI44" s="78"/>
      <c r="AJ44" s="78"/>
      <c r="AK44" s="78"/>
      <c r="AL44" s="78"/>
      <c r="AM44" s="78"/>
      <c r="AN44" s="78"/>
      <c r="AO44" s="78"/>
      <c r="AP44" s="78"/>
      <c r="AQ44" s="78"/>
      <c r="AR44" s="78"/>
      <c r="AS44" s="78"/>
      <c r="AT44" s="78"/>
      <c r="AU44" s="78"/>
      <c r="AV44" s="78"/>
      <c r="AW44" s="78"/>
      <c r="AX44" s="5"/>
      <c r="AY44" s="5"/>
      <c r="AZ44" s="141">
        <v>0</v>
      </c>
      <c r="BA44" s="141">
        <v>0</v>
      </c>
      <c r="BB44" s="141">
        <v>0</v>
      </c>
      <c r="BC44" s="141">
        <v>0</v>
      </c>
      <c r="BD44" s="141">
        <v>0</v>
      </c>
      <c r="BE44" s="141">
        <v>0</v>
      </c>
      <c r="BF44" s="141">
        <v>0</v>
      </c>
      <c r="BG44" s="141">
        <v>0</v>
      </c>
      <c r="BH44" s="141">
        <v>0</v>
      </c>
      <c r="BI44" s="141">
        <v>0</v>
      </c>
      <c r="BJ44" s="141">
        <v>0</v>
      </c>
      <c r="BK44" s="315">
        <f>BK9</f>
        <v>3</v>
      </c>
      <c r="BL44" s="141"/>
      <c r="BM44" s="188"/>
      <c r="BN44" s="188"/>
      <c r="BO44" s="188"/>
      <c r="BP44" s="188"/>
      <c r="BQ44" s="188"/>
      <c r="BR44" s="188"/>
      <c r="BV44" s="79" t="s">
        <v>119</v>
      </c>
    </row>
    <row r="45" spans="1:74" ht="25.05" customHeight="1" thickBot="1" x14ac:dyDescent="0.35">
      <c r="B45" s="12"/>
      <c r="C45" s="6"/>
      <c r="D45" s="6"/>
      <c r="E45" s="6"/>
      <c r="F45" s="6"/>
      <c r="G45" s="6"/>
      <c r="H45" s="13"/>
      <c r="J45" s="544" t="s">
        <v>470</v>
      </c>
      <c r="K45" s="545"/>
      <c r="L45" s="545"/>
      <c r="M45" s="545"/>
      <c r="N45" s="448" t="s">
        <v>471</v>
      </c>
      <c r="O45" s="449">
        <f>O26</f>
        <v>0</v>
      </c>
      <c r="P45" s="5"/>
      <c r="Q45" s="485" t="s">
        <v>432</v>
      </c>
      <c r="R45" s="134">
        <f>SUM(R21:R44)</f>
        <v>13910.43</v>
      </c>
      <c r="S45" s="5"/>
      <c r="T45" s="5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5"/>
      <c r="AY45" s="5"/>
      <c r="AZ45" s="143">
        <v>0</v>
      </c>
      <c r="BA45" s="143">
        <v>0</v>
      </c>
      <c r="BB45" s="143">
        <v>0</v>
      </c>
      <c r="BC45" s="143">
        <v>0</v>
      </c>
      <c r="BD45" s="141">
        <f>$BD$10</f>
        <v>0</v>
      </c>
      <c r="BE45" s="143">
        <v>0</v>
      </c>
      <c r="BF45" s="143">
        <v>0</v>
      </c>
      <c r="BG45" s="143">
        <v>0</v>
      </c>
      <c r="BH45" s="143">
        <v>0</v>
      </c>
      <c r="BI45" s="143">
        <v>0</v>
      </c>
      <c r="BJ45" s="141">
        <f>$BJ$10</f>
        <v>3</v>
      </c>
      <c r="BK45" s="143">
        <v>0</v>
      </c>
      <c r="BL45" s="185">
        <f>$BL$10</f>
        <v>0</v>
      </c>
      <c r="BM45" s="185">
        <f>$BM$10</f>
        <v>3</v>
      </c>
      <c r="BN45" s="141"/>
      <c r="BO45" s="141"/>
      <c r="BP45" s="141"/>
      <c r="BQ45" s="141"/>
      <c r="BR45" s="141"/>
    </row>
    <row r="46" spans="1:74" ht="25.05" customHeight="1" thickBot="1" x14ac:dyDescent="0.35">
      <c r="B46" s="12"/>
      <c r="C46" s="6"/>
      <c r="D46" s="6"/>
      <c r="E46" s="6"/>
      <c r="F46" s="6"/>
      <c r="G46" s="325" t="s">
        <v>268</v>
      </c>
      <c r="H46" s="148">
        <f>ROUNDUP((AY18+AY37)*1.1,0)</f>
        <v>36</v>
      </c>
      <c r="J46" s="6"/>
      <c r="K46" s="6"/>
      <c r="L46" s="6"/>
      <c r="M46" s="6"/>
      <c r="N46" s="6"/>
      <c r="O46" s="6"/>
      <c r="P46" s="254"/>
      <c r="Q46" s="485"/>
      <c r="S46" s="257"/>
      <c r="T46" s="257"/>
      <c r="AX46" s="88"/>
      <c r="AY46" s="88"/>
      <c r="AZ46" s="143">
        <v>0</v>
      </c>
      <c r="BA46" s="143">
        <v>0</v>
      </c>
      <c r="BB46" s="143">
        <v>0</v>
      </c>
      <c r="BC46" s="143">
        <v>0</v>
      </c>
      <c r="BD46" s="141">
        <f>$BD$11</f>
        <v>0</v>
      </c>
      <c r="BE46" s="143">
        <v>0</v>
      </c>
      <c r="BF46" s="143">
        <v>0</v>
      </c>
      <c r="BG46" s="143">
        <v>0</v>
      </c>
      <c r="BH46" s="143">
        <v>0</v>
      </c>
      <c r="BI46" s="143">
        <v>0</v>
      </c>
      <c r="BJ46" s="141">
        <f>$BJ$11</f>
        <v>2</v>
      </c>
      <c r="BK46" s="143">
        <v>0</v>
      </c>
      <c r="BL46" s="185">
        <f>$BL$11</f>
        <v>0</v>
      </c>
      <c r="BM46" s="185">
        <f>$BM$11</f>
        <v>2</v>
      </c>
      <c r="BN46" s="141"/>
      <c r="BO46" s="141"/>
      <c r="BP46" s="188"/>
      <c r="BQ46" s="188"/>
      <c r="BR46" s="188"/>
    </row>
    <row r="47" spans="1:74" ht="25.05" customHeight="1" thickBot="1" x14ac:dyDescent="0.4">
      <c r="A47" s="6"/>
      <c r="B47" s="14"/>
      <c r="C47" s="151"/>
      <c r="D47" s="151"/>
      <c r="E47" s="151"/>
      <c r="F47" s="151"/>
      <c r="G47" s="151"/>
      <c r="H47" s="137"/>
      <c r="K47" s="408"/>
      <c r="L47" s="479" t="s">
        <v>528</v>
      </c>
      <c r="M47" s="479"/>
      <c r="N47" s="479"/>
      <c r="O47" s="479"/>
      <c r="P47" s="5"/>
      <c r="Q47" s="5"/>
      <c r="R47" s="134">
        <f>R15+R45+H32</f>
        <v>57911.78</v>
      </c>
      <c r="S47" s="5"/>
      <c r="T47" s="5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89"/>
      <c r="AY47" s="89"/>
      <c r="AZ47" s="141"/>
      <c r="BA47" s="141"/>
      <c r="BB47" s="141"/>
      <c r="BC47" s="141"/>
      <c r="BD47" s="141"/>
      <c r="BE47" s="141"/>
      <c r="BF47" s="141"/>
      <c r="BG47" s="141"/>
      <c r="BH47" s="141"/>
      <c r="BI47" s="141"/>
      <c r="BJ47" s="141"/>
      <c r="BK47" s="141"/>
      <c r="BL47" s="185"/>
      <c r="BM47" s="185"/>
      <c r="BN47" s="141"/>
      <c r="BO47" s="141"/>
      <c r="BP47" s="188"/>
      <c r="BQ47" s="188"/>
      <c r="BR47" s="188"/>
      <c r="BV47" s="90" t="s">
        <v>126</v>
      </c>
    </row>
    <row r="48" spans="1:74" ht="30" customHeight="1" x14ac:dyDescent="0.3">
      <c r="A48" s="6"/>
      <c r="R48" s="5"/>
      <c r="S48" s="5"/>
      <c r="T48" s="5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1"/>
      <c r="AY48" s="1"/>
      <c r="AZ48" s="143">
        <v>0</v>
      </c>
      <c r="BA48" s="143">
        <v>0</v>
      </c>
      <c r="BB48" s="143">
        <v>0</v>
      </c>
      <c r="BC48" s="143">
        <v>0</v>
      </c>
      <c r="BD48" s="141">
        <f>IF(AND(BL48&gt;0,BL48&lt;=2500),1,0)</f>
        <v>1</v>
      </c>
      <c r="BE48" s="143">
        <v>0</v>
      </c>
      <c r="BF48" s="143">
        <v>0</v>
      </c>
      <c r="BG48" s="143">
        <v>0</v>
      </c>
      <c r="BH48" s="143">
        <v>0</v>
      </c>
      <c r="BI48" s="143">
        <v>0</v>
      </c>
      <c r="BJ48" s="141">
        <f>IF(AND(BL48&gt;2500,BL48&lt;=4950),BM48+1,BM48)</f>
        <v>1</v>
      </c>
      <c r="BK48" s="143">
        <v>0</v>
      </c>
      <c r="BL48" s="185">
        <f t="shared" ref="BL48:BM48" si="19">BL37</f>
        <v>2024</v>
      </c>
      <c r="BM48" s="185">
        <f t="shared" si="19"/>
        <v>1</v>
      </c>
      <c r="BN48" s="141"/>
      <c r="BO48" s="141"/>
      <c r="BP48" s="188"/>
      <c r="BQ48" s="188"/>
      <c r="BR48" s="189"/>
      <c r="BV48" s="1" t="s">
        <v>94</v>
      </c>
    </row>
    <row r="49" spans="1:79" ht="30" customHeight="1" x14ac:dyDescent="0.3">
      <c r="A49" s="6"/>
      <c r="R49" s="5"/>
      <c r="S49" s="5"/>
      <c r="T49" s="5"/>
      <c r="U49" s="88"/>
      <c r="V49" s="88"/>
      <c r="W49" s="88"/>
      <c r="X49" s="88"/>
      <c r="Y49" s="88"/>
      <c r="Z49" s="88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Z49" s="143">
        <v>0</v>
      </c>
      <c r="BA49" s="143">
        <v>0</v>
      </c>
      <c r="BB49" s="191">
        <f>IF(AND(J14=CD6,BO49&gt;0,BO49&lt;=1800),1,0)</f>
        <v>0</v>
      </c>
      <c r="BC49" s="143">
        <v>0</v>
      </c>
      <c r="BD49" s="190">
        <f>IF(AND(J14=CD7,BL49&gt;0,BL49&lt;=2500),1,0)</f>
        <v>0</v>
      </c>
      <c r="BE49" s="191">
        <f>IF(AND(J14=CD6,BO49&gt;1800,BO49&lt;=2700),1,0)</f>
        <v>0</v>
      </c>
      <c r="BF49" s="143">
        <v>0</v>
      </c>
      <c r="BG49" s="191">
        <f>IF(AND(J14=CD6,BO49&gt;2700,BO49&lt;=3600),1,0)</f>
        <v>0</v>
      </c>
      <c r="BH49" s="143">
        <v>0</v>
      </c>
      <c r="BI49" s="143">
        <v>0</v>
      </c>
      <c r="BJ49" s="190">
        <f>IF(AND(J14=CD7,BL49&gt;2500,BL49&lt;=4950),BM49+1,BM49)</f>
        <v>0</v>
      </c>
      <c r="BK49" s="191">
        <f>IF(AND(J14=CD6,BO49&gt;3600,BO49&lt;=5350),BP49+1,BP49)</f>
        <v>0</v>
      </c>
      <c r="BL49" s="185">
        <f t="shared" ref="BL49:BP49" si="20">BL38</f>
        <v>0</v>
      </c>
      <c r="BM49" s="185">
        <f t="shared" si="20"/>
        <v>0</v>
      </c>
      <c r="BN49" s="185"/>
      <c r="BO49" s="185">
        <f t="shared" si="20"/>
        <v>0</v>
      </c>
      <c r="BP49" s="185">
        <f t="shared" si="20"/>
        <v>0</v>
      </c>
      <c r="BQ49" s="188"/>
      <c r="BR49" s="188"/>
      <c r="BV49" s="6"/>
    </row>
    <row r="50" spans="1:79" ht="30" customHeight="1" x14ac:dyDescent="0.3">
      <c r="A50" s="6"/>
      <c r="R50" s="5"/>
      <c r="S50" s="5"/>
      <c r="T50" s="5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BV50" s="38" t="str">
        <f>Цены!G6</f>
        <v>Серебро матовое</v>
      </c>
    </row>
    <row r="51" spans="1:79" x14ac:dyDescent="0.3">
      <c r="A51" s="6"/>
      <c r="R51" s="5"/>
      <c r="S51" s="5"/>
      <c r="T51" s="5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BV51" s="38" t="str">
        <f>Цены!G7</f>
        <v>Черный матовый</v>
      </c>
    </row>
    <row r="52" spans="1:79" x14ac:dyDescent="0.3">
      <c r="A52" s="6"/>
      <c r="R52" s="5"/>
      <c r="S52" s="5"/>
      <c r="T52" s="5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BV52" s="38" t="str">
        <f>Цены!G8</f>
        <v>Слоновая кость</v>
      </c>
    </row>
    <row r="53" spans="1:79" x14ac:dyDescent="0.3">
      <c r="R53" s="5"/>
      <c r="S53" s="5"/>
      <c r="T53" s="5"/>
      <c r="U53" s="6"/>
      <c r="V53" s="6"/>
      <c r="BV53" s="38" t="str">
        <f>Цены!G9</f>
        <v>Белый матовый</v>
      </c>
    </row>
    <row r="54" spans="1:79" x14ac:dyDescent="0.3">
      <c r="R54" s="6"/>
      <c r="S54" s="6"/>
      <c r="T54" s="6"/>
      <c r="U54" s="6"/>
      <c r="V54" s="6"/>
      <c r="BV54" s="38" t="str">
        <f>Цены!G10</f>
        <v xml:space="preserve">Венге темный </v>
      </c>
    </row>
    <row r="55" spans="1:79" x14ac:dyDescent="0.3">
      <c r="R55" s="6"/>
      <c r="S55" s="6"/>
      <c r="T55" s="6"/>
      <c r="U55" s="6"/>
      <c r="V55" s="6"/>
      <c r="BV55" s="38" t="str">
        <f>Цены!G11</f>
        <v>Дуб белый</v>
      </c>
    </row>
    <row r="56" spans="1:79" x14ac:dyDescent="0.3">
      <c r="BV56" s="38" t="str">
        <f>Цены!G12</f>
        <v xml:space="preserve"> медь античная*</v>
      </c>
    </row>
    <row r="57" spans="1:79" x14ac:dyDescent="0.3">
      <c r="BV57" s="38" t="str">
        <f>Цены!G13</f>
        <v>сталь воронёная</v>
      </c>
    </row>
    <row r="58" spans="1:79" x14ac:dyDescent="0.3">
      <c r="BV58" s="38" t="str">
        <f>Цены!G14</f>
        <v>золото матовое</v>
      </c>
      <c r="CA58" s="1" t="s">
        <v>478</v>
      </c>
    </row>
    <row r="59" spans="1:79" x14ac:dyDescent="0.3">
      <c r="BV59" s="38" t="str">
        <f>Цены!G15</f>
        <v>антрацит</v>
      </c>
      <c r="CA59" s="1" t="s">
        <v>480</v>
      </c>
    </row>
    <row r="60" spans="1:79" x14ac:dyDescent="0.3">
      <c r="BV60" s="38" t="str">
        <f>Цены!G16</f>
        <v>кварц бронзовый*</v>
      </c>
      <c r="CA60" s="1" t="s">
        <v>479</v>
      </c>
    </row>
    <row r="61" spans="1:79" x14ac:dyDescent="0.3">
      <c r="BV61" s="38" t="str">
        <f>Цены!G17</f>
        <v>жемчуг серый*</v>
      </c>
      <c r="CA61" s="1" t="s">
        <v>481</v>
      </c>
    </row>
    <row r="62" spans="1:79" x14ac:dyDescent="0.3">
      <c r="BV62" s="38" t="str">
        <f>Цены!G18</f>
        <v>жемчуг розовый*</v>
      </c>
      <c r="CA62" s="1" t="s">
        <v>482</v>
      </c>
    </row>
    <row r="63" spans="1:79" x14ac:dyDescent="0.3">
      <c r="BV63" s="38"/>
    </row>
    <row r="73" spans="76:76" ht="15.6" x14ac:dyDescent="0.3">
      <c r="BX73" s="48">
        <v>0</v>
      </c>
    </row>
    <row r="74" spans="76:76" ht="15.6" x14ac:dyDescent="0.3">
      <c r="BX74" s="48">
        <v>1</v>
      </c>
    </row>
    <row r="75" spans="76:76" ht="15.6" x14ac:dyDescent="0.3">
      <c r="BX75" s="48">
        <v>2</v>
      </c>
    </row>
    <row r="76" spans="76:76" ht="15.6" x14ac:dyDescent="0.3">
      <c r="BX76" s="48">
        <v>3</v>
      </c>
    </row>
    <row r="77" spans="76:76" ht="15.6" x14ac:dyDescent="0.3">
      <c r="BX77" s="48">
        <v>4</v>
      </c>
    </row>
    <row r="78" spans="76:76" ht="15.6" x14ac:dyDescent="0.3">
      <c r="BX78" s="48">
        <v>5</v>
      </c>
    </row>
    <row r="83" spans="74:74" x14ac:dyDescent="0.3">
      <c r="BV83" s="1" t="s">
        <v>176</v>
      </c>
    </row>
    <row r="84" spans="74:74" x14ac:dyDescent="0.3">
      <c r="BV84" s="1" t="s">
        <v>175</v>
      </c>
    </row>
  </sheetData>
  <sheetProtection algorithmName="SHA-512" hashValue="RfPd4CupqixUiyjfTMjGwe0Lyhqu3ZiBtjWhhOL9gL3V7XZYX5KvuPyhTaOohqLMg1v5VJukkl+c5/TIM8ltRA==" saltValue="KVmw2XGoutGJQ6DStM/ncA==" spinCount="100000" sheet="1" selectLockedCells="1"/>
  <mergeCells count="93">
    <mergeCell ref="J27:M27"/>
    <mergeCell ref="N11:N12"/>
    <mergeCell ref="J45:M45"/>
    <mergeCell ref="J42:M42"/>
    <mergeCell ref="J1:O1"/>
    <mergeCell ref="J20:M20"/>
    <mergeCell ref="J21:M21"/>
    <mergeCell ref="J22:M22"/>
    <mergeCell ref="J3:K3"/>
    <mergeCell ref="J6:M6"/>
    <mergeCell ref="E6:H6"/>
    <mergeCell ref="E7:H7"/>
    <mergeCell ref="B12:D12"/>
    <mergeCell ref="B13:D13"/>
    <mergeCell ref="E8:H8"/>
    <mergeCell ref="E9:H9"/>
    <mergeCell ref="E10:H10"/>
    <mergeCell ref="E11:H11"/>
    <mergeCell ref="B1:H1"/>
    <mergeCell ref="E16:H16"/>
    <mergeCell ref="E18:H18"/>
    <mergeCell ref="E19:H19"/>
    <mergeCell ref="B3:D3"/>
    <mergeCell ref="B4:D4"/>
    <mergeCell ref="B5:D5"/>
    <mergeCell ref="B6:D6"/>
    <mergeCell ref="B7:D7"/>
    <mergeCell ref="B8:D8"/>
    <mergeCell ref="B9:D9"/>
    <mergeCell ref="B10:D10"/>
    <mergeCell ref="B11:D11"/>
    <mergeCell ref="E3:H3"/>
    <mergeCell ref="E4:H4"/>
    <mergeCell ref="E5:H5"/>
    <mergeCell ref="B16:D16"/>
    <mergeCell ref="B18:D18"/>
    <mergeCell ref="B19:D19"/>
    <mergeCell ref="B17:D17"/>
    <mergeCell ref="E17:H17"/>
    <mergeCell ref="B15:D15"/>
    <mergeCell ref="E12:H12"/>
    <mergeCell ref="E13:H13"/>
    <mergeCell ref="E14:H14"/>
    <mergeCell ref="E15:H15"/>
    <mergeCell ref="B14:D14"/>
    <mergeCell ref="E32:G32"/>
    <mergeCell ref="J32:M32"/>
    <mergeCell ref="U15:AG15"/>
    <mergeCell ref="AA11:AA12"/>
    <mergeCell ref="AD11:AD12"/>
    <mergeCell ref="AE11:AE12"/>
    <mergeCell ref="AG11:AG12"/>
    <mergeCell ref="W11:W12"/>
    <mergeCell ref="Z11:Z12"/>
    <mergeCell ref="AB11:AB12"/>
    <mergeCell ref="AF11:AF12"/>
    <mergeCell ref="U11:U12"/>
    <mergeCell ref="X11:X12"/>
    <mergeCell ref="Y11:Y12"/>
    <mergeCell ref="J23:M23"/>
    <mergeCell ref="J26:M26"/>
    <mergeCell ref="W3:Y3"/>
    <mergeCell ref="Z3:AA3"/>
    <mergeCell ref="J38:M38"/>
    <mergeCell ref="J39:M39"/>
    <mergeCell ref="J33:M33"/>
    <mergeCell ref="J34:M34"/>
    <mergeCell ref="J35:M35"/>
    <mergeCell ref="J36:M36"/>
    <mergeCell ref="J37:M37"/>
    <mergeCell ref="J29:M29"/>
    <mergeCell ref="J30:M30"/>
    <mergeCell ref="J31:M31"/>
    <mergeCell ref="J28:M28"/>
    <mergeCell ref="U7:AH7"/>
    <mergeCell ref="AH11:AH12"/>
    <mergeCell ref="O11:O12"/>
    <mergeCell ref="R4:R5"/>
    <mergeCell ref="BO15:BP15"/>
    <mergeCell ref="BL15:BM15"/>
    <mergeCell ref="L47:O47"/>
    <mergeCell ref="J7:O7"/>
    <mergeCell ref="R11:R12"/>
    <mergeCell ref="V11:V12"/>
    <mergeCell ref="AC11:AC12"/>
    <mergeCell ref="AB17:AG17"/>
    <mergeCell ref="Q45:Q46"/>
    <mergeCell ref="J24:M24"/>
    <mergeCell ref="J25:M25"/>
    <mergeCell ref="J40:M40"/>
    <mergeCell ref="J41:M41"/>
    <mergeCell ref="J43:M43"/>
    <mergeCell ref="J44:M44"/>
  </mergeCells>
  <conditionalFormatting sqref="E7 E3:E5 E11:E14">
    <cfRule type="cellIs" dxfId="163" priority="101" operator="greaterThan">
      <formula>0</formula>
    </cfRule>
  </conditionalFormatting>
  <conditionalFormatting sqref="E8">
    <cfRule type="cellIs" dxfId="162" priority="97" operator="greaterThan">
      <formula>0</formula>
    </cfRule>
  </conditionalFormatting>
  <conditionalFormatting sqref="E15:E16 E18:E19">
    <cfRule type="cellIs" dxfId="161" priority="71" operator="greaterThan">
      <formula>0</formula>
    </cfRule>
  </conditionalFormatting>
  <conditionalFormatting sqref="U9:AF14">
    <cfRule type="cellIs" dxfId="160" priority="61" operator="equal">
      <formula>0</formula>
    </cfRule>
  </conditionalFormatting>
  <conditionalFormatting sqref="K4">
    <cfRule type="expression" dxfId="159" priority="35">
      <formula>$K$4&gt;3200</formula>
    </cfRule>
  </conditionalFormatting>
  <conditionalFormatting sqref="E6">
    <cfRule type="cellIs" dxfId="158" priority="33" operator="greaterThan">
      <formula>0</formula>
    </cfRule>
  </conditionalFormatting>
  <conditionalFormatting sqref="D23:G23">
    <cfRule type="expression" dxfId="157" priority="291">
      <formula>$D$23=$AG$40</formula>
    </cfRule>
  </conditionalFormatting>
  <conditionalFormatting sqref="H46">
    <cfRule type="expression" dxfId="156" priority="29">
      <formula>$H$46&gt;60</formula>
    </cfRule>
  </conditionalFormatting>
  <conditionalFormatting sqref="AH15:AP15 L12:M12 N11:Q11 E27 F27:H31 K4:K5 H32 AI23:AP23 AI21:AP21 L9:Q10 T10:T13 P42:Q44 O43:O45 AI25:AP26 S16 S15:T15 L13:Q14 S46:T46 S13 S10:S11 S9:AP9 U13:AH13 S14:AH14 AW25:AW26 AW21 AW23 AW9:AW11 AW13 U10:AU10 AG11:AU11 AI12:AU14 AW15 O21:Q41 S21:S31 S32:T44">
    <cfRule type="expression" dxfId="155" priority="358">
      <formula>$E$4=0</formula>
    </cfRule>
  </conditionalFormatting>
  <conditionalFormatting sqref="AW31 AI31:AP31 AH17">
    <cfRule type="expression" dxfId="154" priority="376">
      <formula>$E$4=0</formula>
    </cfRule>
  </conditionalFormatting>
  <conditionalFormatting sqref="K5">
    <cfRule type="expression" dxfId="153" priority="377">
      <formula>AND(OR($K$5&lt;600,$K$5&gt;1200),$E$4&gt;0)</formula>
    </cfRule>
  </conditionalFormatting>
  <conditionalFormatting sqref="E4:H4">
    <cfRule type="expression" dxfId="152" priority="28">
      <formula>$E$4&gt;5000</formula>
    </cfRule>
  </conditionalFormatting>
  <conditionalFormatting sqref="AI27:AP27 AW27">
    <cfRule type="expression" dxfId="151" priority="27">
      <formula>$E$4=0</formula>
    </cfRule>
  </conditionalFormatting>
  <conditionalFormatting sqref="AI22:AP22 AW22">
    <cfRule type="expression" dxfId="150" priority="24">
      <formula>$E$4=0</formula>
    </cfRule>
  </conditionalFormatting>
  <conditionalFormatting sqref="E17">
    <cfRule type="cellIs" dxfId="149" priority="13" operator="greaterThan">
      <formula>0</formula>
    </cfRule>
  </conditionalFormatting>
  <conditionalFormatting sqref="AQ25:AV26 AQ21:AV21 AQ23:AV23 AQ9:AV9 AQ15:AV15 AV10:AV11 AV13">
    <cfRule type="expression" dxfId="148" priority="11">
      <formula>$E$4=0</formula>
    </cfRule>
  </conditionalFormatting>
  <conditionalFormatting sqref="AQ31:AV31">
    <cfRule type="expression" dxfId="147" priority="12">
      <formula>$E$4=0</formula>
    </cfRule>
  </conditionalFormatting>
  <conditionalFormatting sqref="AQ27:AV27">
    <cfRule type="expression" dxfId="146" priority="10">
      <formula>$E$4=0</formula>
    </cfRule>
  </conditionalFormatting>
  <conditionalFormatting sqref="AQ22:AV22">
    <cfRule type="expression" dxfId="145" priority="9">
      <formula>$E$4=0</formula>
    </cfRule>
  </conditionalFormatting>
  <conditionalFormatting sqref="C33">
    <cfRule type="expression" dxfId="144" priority="1042">
      <formula>$C$33=$BV$43</formula>
    </cfRule>
    <cfRule type="expression" dxfId="143" priority="1043">
      <formula>$C$33=$BV$44</formula>
    </cfRule>
  </conditionalFormatting>
  <conditionalFormatting sqref="C37">
    <cfRule type="expression" dxfId="142" priority="1044">
      <formula>$C$37=$BV$47</formula>
    </cfRule>
  </conditionalFormatting>
  <conditionalFormatting sqref="E9">
    <cfRule type="expression" dxfId="141" priority="1045">
      <formula>OR($E$8=$BV$11,$E$8=$BV$12)</formula>
    </cfRule>
  </conditionalFormatting>
  <conditionalFormatting sqref="E10">
    <cfRule type="expression" dxfId="140" priority="1046">
      <formula>AND($E$8=$BV$12,$E$10&lt;3)</formula>
    </cfRule>
    <cfRule type="expression" dxfId="139" priority="1047">
      <formula>OR($E$8=$BV$6,$E$8=$BV$7,$E$8=$BV$9,$E$8=$BV$10,$E$8=$BV$13,$E$8=$BV$14)</formula>
    </cfRule>
    <cfRule type="cellIs" dxfId="138" priority="1048" operator="greaterThan">
      <formula>0</formula>
    </cfRule>
  </conditionalFormatting>
  <dataValidations count="11">
    <dataValidation type="list" allowBlank="1" showInputMessage="1" showErrorMessage="1" sqref="E18:E19 E11:E12 E14:E15">
      <formula1>$BV$23:$BV$24</formula1>
    </dataValidation>
    <dataValidation type="list" allowBlank="1" showInputMessage="1" showErrorMessage="1" sqref="C27:C31">
      <formula1>$BV$27:$BV$29</formula1>
    </dataValidation>
    <dataValidation type="list" allowBlank="1" showInputMessage="1" showErrorMessage="1" sqref="E13">
      <formula1>$BV$36:$BV$39</formula1>
    </dataValidation>
    <dataValidation type="whole" allowBlank="1" showInputMessage="1" showErrorMessage="1" sqref="E16">
      <formula1>0</formula1>
      <formula2>20</formula2>
    </dataValidation>
    <dataValidation type="list" allowBlank="1" showInputMessage="1" showErrorMessage="1" sqref="E6">
      <formula1>$CD$6:$CD$7</formula1>
    </dataValidation>
    <dataValidation type="list" allowBlank="1" showInputMessage="1" showErrorMessage="1" sqref="E8:H8">
      <formula1>$BV$6:$BV$14</formula1>
    </dataValidation>
    <dataValidation type="whole" allowBlank="1" showInputMessage="1" showErrorMessage="1" errorTitle="Неверное количество" error="Введите количество от 0 до 10" sqref="E17:H17">
      <formula1>0</formula1>
      <formula2>10</formula2>
    </dataValidation>
    <dataValidation type="list" allowBlank="1" showInputMessage="1" showErrorMessage="1" sqref="E5">
      <formula1>$BX$73:$BX$77</formula1>
    </dataValidation>
    <dataValidation type="list" allowBlank="1" showInputMessage="1" showErrorMessage="1" sqref="E7:H7">
      <formula1>$BV$50:$BV$62</formula1>
    </dataValidation>
    <dataValidation type="list" allowBlank="1" showInputMessage="1" showErrorMessage="1" sqref="Z3:AA3">
      <formula1>$CE$21:$CE$28</formula1>
    </dataValidation>
    <dataValidation type="list" allowBlank="1" showInputMessage="1" showErrorMessage="1" sqref="E10">
      <formula1>IF($E$8=$BV$12,$BX$76:$BX$78,$BX$75:$BX$78)</formula1>
    </dataValidation>
  </dataValidations>
  <printOptions horizontalCentered="1" verticalCentered="1"/>
  <pageMargins left="0.11811023622047245" right="0.11811023622047245" top="0.74803149606299213" bottom="0.74803149606299213" header="0.31496062992125984" footer="0.31496062992125984"/>
  <pageSetup paperSize="9" scale="37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8" id="{7A2A9378-D27D-4D00-AE9B-EAD8E7731CC9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D33:G33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  <pageSetUpPr fitToPage="1"/>
  </sheetPr>
  <dimension ref="A1:CM70"/>
  <sheetViews>
    <sheetView zoomScale="70" zoomScaleNormal="70" zoomScalePageLayoutView="125" workbookViewId="0">
      <selection activeCell="E3" sqref="E3:H3"/>
    </sheetView>
  </sheetViews>
  <sheetFormatPr defaultColWidth="8.88671875" defaultRowHeight="14.4" x14ac:dyDescent="0.3"/>
  <cols>
    <col min="1" max="1" width="1.77734375" style="1" customWidth="1"/>
    <col min="2" max="3" width="45.77734375" style="1" customWidth="1"/>
    <col min="4" max="8" width="14.77734375" style="1" customWidth="1"/>
    <col min="9" max="9" width="1.77734375" style="1" customWidth="1"/>
    <col min="10" max="10" width="34.33203125" style="1" hidden="1" customWidth="1"/>
    <col min="11" max="11" width="35.77734375" style="1" customWidth="1"/>
    <col min="12" max="12" width="14.77734375" style="1" customWidth="1"/>
    <col min="13" max="13" width="17.77734375" style="222" customWidth="1"/>
    <col min="14" max="14" width="14.77734375" style="222" customWidth="1"/>
    <col min="15" max="16" width="14.77734375" style="1" customWidth="1"/>
    <col min="17" max="17" width="1.77734375" style="1" customWidth="1"/>
    <col min="18" max="18" width="14.77734375" style="1" hidden="1" customWidth="1"/>
    <col min="19" max="19" width="14.77734375" style="1" customWidth="1"/>
    <col min="20" max="20" width="1.77734375" style="1" customWidth="1"/>
    <col min="21" max="21" width="25.77734375" style="1" customWidth="1"/>
    <col min="22" max="34" width="11.77734375" style="1" customWidth="1"/>
    <col min="35" max="35" width="14.77734375" style="1" customWidth="1"/>
    <col min="36" max="47" width="5.77734375" style="1" hidden="1" customWidth="1"/>
    <col min="48" max="50" width="14.77734375" style="1" hidden="1" customWidth="1"/>
    <col min="51" max="54" width="10.109375" style="54" hidden="1" customWidth="1"/>
    <col min="55" max="55" width="13.5546875" style="54" hidden="1" customWidth="1"/>
    <col min="56" max="56" width="12.77734375" style="54" hidden="1" customWidth="1"/>
    <col min="57" max="64" width="10.109375" style="54" hidden="1" customWidth="1"/>
    <col min="65" max="65" width="12.77734375" style="54" hidden="1" customWidth="1"/>
    <col min="66" max="70" width="8.88671875" style="1" hidden="1" customWidth="1"/>
    <col min="71" max="71" width="16.44140625" style="1" hidden="1" customWidth="1"/>
    <col min="72" max="72" width="12.6640625" style="1" hidden="1" customWidth="1"/>
    <col min="73" max="75" width="14.21875" style="1" hidden="1" customWidth="1"/>
    <col min="76" max="76" width="10.109375" style="1" hidden="1" customWidth="1"/>
    <col min="77" max="77" width="29.88671875" style="1" hidden="1" customWidth="1"/>
    <col min="78" max="83" width="8.88671875" style="1" hidden="1" customWidth="1"/>
    <col min="84" max="84" width="17.44140625" style="1" hidden="1" customWidth="1"/>
    <col min="85" max="85" width="24.6640625" style="1" hidden="1" customWidth="1"/>
    <col min="86" max="86" width="18.5546875" style="1" hidden="1" customWidth="1"/>
    <col min="87" max="91" width="8.88671875" style="1" hidden="1" customWidth="1"/>
    <col min="92" max="16384" width="8.88671875" style="1"/>
  </cols>
  <sheetData>
    <row r="1" spans="2:91" ht="25.05" customHeight="1" x14ac:dyDescent="0.3">
      <c r="B1" s="524" t="s">
        <v>104</v>
      </c>
      <c r="C1" s="524"/>
      <c r="D1" s="524"/>
      <c r="E1" s="524"/>
      <c r="F1" s="524"/>
      <c r="G1" s="524"/>
      <c r="H1" s="524"/>
      <c r="I1" s="149"/>
      <c r="J1" s="149"/>
      <c r="K1" s="524" t="s">
        <v>105</v>
      </c>
      <c r="L1" s="524"/>
      <c r="M1" s="524"/>
      <c r="N1" s="524"/>
      <c r="O1" s="524"/>
      <c r="P1" s="524"/>
      <c r="Q1" s="244"/>
      <c r="R1" s="244"/>
      <c r="S1" s="203"/>
      <c r="T1" s="203"/>
      <c r="U1" s="203"/>
    </row>
    <row r="2" spans="2:91" ht="25.05" customHeight="1" thickBot="1" x14ac:dyDescent="0.35"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279"/>
      <c r="N2" s="279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  <c r="BM2" s="47"/>
    </row>
    <row r="3" spans="2:91" s="4" customFormat="1" ht="25.05" customHeight="1" thickBot="1" x14ac:dyDescent="0.35">
      <c r="B3" s="527" t="s">
        <v>121</v>
      </c>
      <c r="C3" s="528"/>
      <c r="D3" s="528"/>
      <c r="E3" s="535">
        <v>2600</v>
      </c>
      <c r="F3" s="535"/>
      <c r="G3" s="535"/>
      <c r="H3" s="536"/>
      <c r="K3" s="550" t="s">
        <v>270</v>
      </c>
      <c r="L3" s="561"/>
      <c r="M3" s="340"/>
      <c r="N3" s="342"/>
      <c r="O3" s="437"/>
      <c r="P3" s="437"/>
      <c r="Q3" s="326"/>
      <c r="R3" s="326"/>
      <c r="S3" s="3"/>
      <c r="T3" s="3"/>
      <c r="U3" s="3"/>
      <c r="W3" s="563" t="s">
        <v>424</v>
      </c>
      <c r="X3" s="564"/>
      <c r="Y3" s="565"/>
      <c r="Z3" s="495" t="s">
        <v>425</v>
      </c>
      <c r="AA3" s="495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B3" s="3"/>
      <c r="BC3" s="3"/>
      <c r="BD3" s="3"/>
      <c r="BE3" s="3"/>
      <c r="BF3" s="241" t="s">
        <v>425</v>
      </c>
      <c r="BG3" s="3"/>
      <c r="BH3" s="3"/>
      <c r="BI3" s="3"/>
      <c r="BJ3" s="3"/>
      <c r="BK3" s="3"/>
      <c r="BL3" s="3"/>
      <c r="BM3" s="3"/>
    </row>
    <row r="4" spans="2:91" ht="25.05" customHeight="1" x14ac:dyDescent="0.3">
      <c r="B4" s="529" t="s">
        <v>433</v>
      </c>
      <c r="C4" s="530"/>
      <c r="D4" s="530"/>
      <c r="E4" s="537">
        <v>2500</v>
      </c>
      <c r="F4" s="537"/>
      <c r="G4" s="537"/>
      <c r="H4" s="538"/>
      <c r="K4" s="21" t="s">
        <v>435</v>
      </c>
      <c r="L4" s="333">
        <f>E3-60</f>
        <v>2540</v>
      </c>
      <c r="M4" s="332" t="s">
        <v>437</v>
      </c>
      <c r="N4" s="343">
        <f>E3-60</f>
        <v>2540</v>
      </c>
      <c r="O4" s="6"/>
      <c r="P4" s="6"/>
      <c r="Q4" s="6"/>
      <c r="R4" s="6"/>
      <c r="S4" s="475" t="s">
        <v>460</v>
      </c>
      <c r="T4" s="6"/>
      <c r="U4" s="6"/>
      <c r="V4" s="6"/>
      <c r="W4" s="6"/>
      <c r="X4" s="6"/>
      <c r="Y4" s="6"/>
      <c r="Z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</row>
    <row r="5" spans="2:91" ht="25.05" customHeight="1" thickBot="1" x14ac:dyDescent="0.35">
      <c r="B5" s="529" t="s">
        <v>434</v>
      </c>
      <c r="C5" s="530"/>
      <c r="D5" s="530"/>
      <c r="E5" s="537">
        <v>2500</v>
      </c>
      <c r="F5" s="537"/>
      <c r="G5" s="537"/>
      <c r="H5" s="538"/>
      <c r="K5" s="150" t="s">
        <v>436</v>
      </c>
      <c r="L5" s="334">
        <f>ROUNDUP(IF(OR(E13=BY38,E13=BY39),(E4-10-5-34+39*(E9-1))/E9,(E4-10-34+39*(E9-1))/E9),0)</f>
        <v>845</v>
      </c>
      <c r="M5" s="335" t="s">
        <v>438</v>
      </c>
      <c r="N5" s="344">
        <f>ROUNDUP(IF(OR(E13=BY38,E13=BY39),(E5-10-5-34+39*(E10-1))/E10,(E5-10-34+39*(E10-1))/E10),0)</f>
        <v>845</v>
      </c>
      <c r="O5" s="6"/>
      <c r="P5" s="6"/>
      <c r="Q5" s="327"/>
      <c r="R5" s="327"/>
      <c r="S5" s="476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141" t="s">
        <v>263</v>
      </c>
      <c r="BB5" s="141"/>
      <c r="BC5" s="141"/>
      <c r="BD5" s="185">
        <v>4950</v>
      </c>
      <c r="BE5" s="185"/>
      <c r="BF5" s="185"/>
      <c r="BG5" s="185"/>
      <c r="BH5" s="185"/>
      <c r="BI5" s="185"/>
      <c r="BJ5" s="185"/>
      <c r="BK5" s="185"/>
      <c r="BL5" s="185"/>
      <c r="BM5" s="185"/>
      <c r="BN5" s="186"/>
      <c r="BO5" s="186"/>
      <c r="BP5" s="186"/>
      <c r="BQ5" s="186"/>
      <c r="BR5" s="186"/>
      <c r="BS5" s="186"/>
      <c r="BT5" s="6"/>
      <c r="BU5" s="6"/>
      <c r="BV5" s="6"/>
      <c r="BW5" s="6"/>
      <c r="BX5" s="6"/>
    </row>
    <row r="6" spans="2:91" ht="25.05" customHeight="1" thickBot="1" x14ac:dyDescent="0.35">
      <c r="B6" s="529" t="s">
        <v>449</v>
      </c>
      <c r="C6" s="530"/>
      <c r="D6" s="530"/>
      <c r="E6" s="514">
        <v>0</v>
      </c>
      <c r="F6" s="514"/>
      <c r="G6" s="514"/>
      <c r="H6" s="515"/>
      <c r="K6" s="552"/>
      <c r="L6" s="552"/>
      <c r="M6" s="552"/>
      <c r="N6" s="552"/>
      <c r="O6" s="324"/>
      <c r="P6" s="324"/>
      <c r="Q6" s="324"/>
      <c r="R6" s="324"/>
      <c r="S6" s="324"/>
      <c r="T6" s="324"/>
      <c r="U6" s="324"/>
      <c r="V6" s="324"/>
      <c r="W6" s="324"/>
      <c r="X6" s="324"/>
      <c r="Y6" s="324"/>
      <c r="Z6" s="324"/>
      <c r="AA6" s="324"/>
      <c r="AB6" s="324"/>
      <c r="AC6" s="324"/>
      <c r="AD6" s="324"/>
      <c r="AE6" s="324"/>
      <c r="AF6" s="324"/>
      <c r="AG6" s="324"/>
      <c r="AH6" s="324"/>
      <c r="AI6" s="324"/>
      <c r="AJ6" s="416"/>
      <c r="AK6" s="416"/>
      <c r="AL6" s="416"/>
      <c r="AM6" s="416"/>
      <c r="AN6" s="416"/>
      <c r="AO6" s="416"/>
      <c r="AP6" s="416"/>
      <c r="AQ6" s="416"/>
      <c r="AR6" s="416"/>
      <c r="AS6" s="416"/>
      <c r="AT6" s="416"/>
      <c r="AU6" s="416"/>
      <c r="AV6" s="416"/>
      <c r="AW6" s="416"/>
      <c r="AX6" s="416"/>
      <c r="AY6" s="3"/>
      <c r="AZ6" s="3"/>
      <c r="BA6" s="141" t="s">
        <v>264</v>
      </c>
      <c r="BB6" s="141"/>
      <c r="BC6" s="141"/>
      <c r="BD6" s="141">
        <v>5025</v>
      </c>
      <c r="BE6" s="185"/>
      <c r="BF6" s="141"/>
      <c r="BG6" s="141"/>
      <c r="BH6" s="141"/>
      <c r="BI6" s="141"/>
      <c r="BJ6" s="141"/>
      <c r="BK6" s="141"/>
      <c r="BL6" s="141"/>
      <c r="BM6" s="141"/>
      <c r="BN6" s="186"/>
      <c r="BO6" s="186"/>
      <c r="BP6" s="186"/>
      <c r="BQ6" s="186"/>
      <c r="BR6" s="186"/>
      <c r="BS6" s="186"/>
      <c r="BT6" s="6"/>
      <c r="BU6" s="6"/>
      <c r="BV6" s="6"/>
      <c r="BW6" s="6"/>
      <c r="BX6" s="6"/>
      <c r="BY6" s="50"/>
      <c r="CG6" s="1" t="s">
        <v>458</v>
      </c>
      <c r="CH6" s="1" t="s">
        <v>244</v>
      </c>
      <c r="CI6" s="1">
        <f>IF(E7=CG6,9,8)</f>
        <v>8</v>
      </c>
      <c r="CM6" s="48">
        <v>0</v>
      </c>
    </row>
    <row r="7" spans="2:91" ht="25.05" customHeight="1" x14ac:dyDescent="0.3">
      <c r="B7" s="529" t="s">
        <v>243</v>
      </c>
      <c r="C7" s="530"/>
      <c r="D7" s="530"/>
      <c r="E7" s="514" t="s">
        <v>459</v>
      </c>
      <c r="F7" s="514"/>
      <c r="G7" s="514"/>
      <c r="H7" s="515"/>
      <c r="K7" s="550" t="s">
        <v>182</v>
      </c>
      <c r="L7" s="561"/>
      <c r="M7" s="561"/>
      <c r="N7" s="561"/>
      <c r="O7" s="414"/>
      <c r="P7" s="415"/>
      <c r="Q7" s="324"/>
      <c r="R7" s="324"/>
      <c r="S7" s="258"/>
      <c r="T7" s="324"/>
      <c r="U7" s="413"/>
      <c r="V7" s="498" t="s">
        <v>100</v>
      </c>
      <c r="W7" s="498"/>
      <c r="X7" s="498"/>
      <c r="Y7" s="498"/>
      <c r="Z7" s="498"/>
      <c r="AA7" s="498"/>
      <c r="AB7" s="498"/>
      <c r="AC7" s="498"/>
      <c r="AD7" s="498"/>
      <c r="AE7" s="498"/>
      <c r="AF7" s="498"/>
      <c r="AG7" s="498"/>
      <c r="AH7" s="498"/>
      <c r="AI7" s="499"/>
      <c r="AJ7" s="451"/>
      <c r="AK7" s="451"/>
      <c r="AL7" s="451"/>
      <c r="AM7" s="451"/>
      <c r="AN7" s="451"/>
      <c r="AO7" s="451"/>
      <c r="AP7" s="451"/>
      <c r="AQ7" s="451"/>
      <c r="AR7" s="451"/>
      <c r="AS7" s="451"/>
      <c r="AT7" s="451"/>
      <c r="AU7" s="451"/>
      <c r="AV7" s="451"/>
      <c r="AW7" s="451"/>
      <c r="AX7" s="451"/>
      <c r="AY7" s="3" t="s">
        <v>272</v>
      </c>
      <c r="AZ7" s="3"/>
      <c r="BA7" s="185" t="s">
        <v>265</v>
      </c>
      <c r="BB7" s="185"/>
      <c r="BC7" s="185"/>
      <c r="BD7" s="141">
        <v>5350</v>
      </c>
      <c r="BE7" s="185"/>
      <c r="BF7" s="141"/>
      <c r="BG7" s="141"/>
      <c r="BH7" s="141"/>
      <c r="BI7" s="141"/>
      <c r="BJ7" s="141"/>
      <c r="BK7" s="141"/>
      <c r="BL7" s="141"/>
      <c r="BM7" s="141"/>
      <c r="BN7" s="186"/>
      <c r="BO7" s="186"/>
      <c r="BP7" s="186"/>
      <c r="BQ7" s="186"/>
      <c r="BR7" s="186"/>
      <c r="BS7" s="186"/>
      <c r="BT7" s="6"/>
      <c r="BU7" s="6"/>
      <c r="BV7" s="6"/>
      <c r="BW7" s="6"/>
      <c r="BX7" s="6"/>
      <c r="BY7" s="51" t="s">
        <v>95</v>
      </c>
      <c r="CG7" s="1" t="s">
        <v>459</v>
      </c>
      <c r="CH7" s="1" t="s">
        <v>260</v>
      </c>
      <c r="CM7" s="48">
        <v>1</v>
      </c>
    </row>
    <row r="8" spans="2:91" ht="25.05" customHeight="1" x14ac:dyDescent="0.3">
      <c r="B8" s="529" t="s">
        <v>122</v>
      </c>
      <c r="C8" s="530"/>
      <c r="D8" s="530"/>
      <c r="E8" s="514" t="s">
        <v>234</v>
      </c>
      <c r="F8" s="514"/>
      <c r="G8" s="514"/>
      <c r="H8" s="515"/>
      <c r="K8" s="411" t="s">
        <v>0</v>
      </c>
      <c r="L8" s="412" t="s">
        <v>1</v>
      </c>
      <c r="M8" s="412" t="s">
        <v>7</v>
      </c>
      <c r="N8" s="205" t="s">
        <v>274</v>
      </c>
      <c r="O8" s="205" t="s">
        <v>101</v>
      </c>
      <c r="P8" s="239" t="s">
        <v>23</v>
      </c>
      <c r="Q8" s="140"/>
      <c r="R8" s="140"/>
      <c r="S8" s="259" t="s">
        <v>24</v>
      </c>
      <c r="T8" s="140"/>
      <c r="U8" s="319"/>
      <c r="V8" s="96">
        <v>1000</v>
      </c>
      <c r="W8" s="96">
        <v>1250</v>
      </c>
      <c r="X8" s="96">
        <v>1800</v>
      </c>
      <c r="Y8" s="96">
        <v>2000</v>
      </c>
      <c r="Z8" s="96">
        <v>2500</v>
      </c>
      <c r="AA8" s="96">
        <v>2700</v>
      </c>
      <c r="AB8" s="96">
        <v>3000</v>
      </c>
      <c r="AC8" s="96">
        <v>3600</v>
      </c>
      <c r="AD8" s="96">
        <v>3750</v>
      </c>
      <c r="AE8" s="96">
        <v>4000</v>
      </c>
      <c r="AF8" s="96">
        <v>5000</v>
      </c>
      <c r="AG8" s="96">
        <v>5400</v>
      </c>
      <c r="AH8" s="205" t="s">
        <v>101</v>
      </c>
      <c r="AI8" s="52" t="s">
        <v>24</v>
      </c>
      <c r="AJ8" s="452"/>
      <c r="AK8" s="452"/>
      <c r="AL8" s="452"/>
      <c r="AM8" s="452"/>
      <c r="AN8" s="452"/>
      <c r="AO8" s="452"/>
      <c r="AP8" s="452"/>
      <c r="AQ8" s="452"/>
      <c r="AR8" s="452"/>
      <c r="AS8" s="452"/>
      <c r="AT8" s="452"/>
      <c r="AU8" s="452"/>
      <c r="AV8" s="452"/>
      <c r="AW8" s="452"/>
      <c r="AX8" s="452"/>
      <c r="AY8" s="53"/>
      <c r="AZ8" s="53"/>
      <c r="BA8" s="96">
        <v>1000</v>
      </c>
      <c r="BB8" s="96">
        <v>1250</v>
      </c>
      <c r="BC8" s="96">
        <v>1800</v>
      </c>
      <c r="BD8" s="96">
        <v>2000</v>
      </c>
      <c r="BE8" s="96">
        <v>2500</v>
      </c>
      <c r="BF8" s="96">
        <v>2700</v>
      </c>
      <c r="BG8" s="96">
        <v>3000</v>
      </c>
      <c r="BH8" s="96">
        <v>3600</v>
      </c>
      <c r="BI8" s="96">
        <v>3750</v>
      </c>
      <c r="BJ8" s="96">
        <v>4000</v>
      </c>
      <c r="BK8" s="96">
        <v>5000</v>
      </c>
      <c r="BL8" s="142">
        <v>5400</v>
      </c>
      <c r="BM8" s="348"/>
      <c r="BN8" s="349"/>
      <c r="BO8" s="186"/>
      <c r="BP8" s="346"/>
      <c r="BQ8" s="347"/>
      <c r="BR8" s="186"/>
      <c r="BS8" s="186"/>
      <c r="BT8" s="6"/>
      <c r="BU8" s="6"/>
      <c r="BV8" s="6"/>
      <c r="BW8" s="6" t="s">
        <v>128</v>
      </c>
      <c r="BX8" s="6"/>
      <c r="BY8" s="51" t="s">
        <v>96</v>
      </c>
      <c r="CM8" s="48">
        <v>2</v>
      </c>
    </row>
    <row r="9" spans="2:91" ht="25.05" customHeight="1" x14ac:dyDescent="0.35">
      <c r="B9" s="531" t="s">
        <v>439</v>
      </c>
      <c r="C9" s="532"/>
      <c r="D9" s="532"/>
      <c r="E9" s="514">
        <v>3</v>
      </c>
      <c r="F9" s="514"/>
      <c r="G9" s="514"/>
      <c r="H9" s="515"/>
      <c r="J9" s="458" t="s">
        <v>2</v>
      </c>
      <c r="K9" s="22" t="s">
        <v>2</v>
      </c>
      <c r="L9" s="238" t="s">
        <v>190</v>
      </c>
      <c r="M9" s="417">
        <f>L4</f>
        <v>2540</v>
      </c>
      <c r="N9" s="432">
        <f>(E9+E10)*2</f>
        <v>12</v>
      </c>
      <c r="O9" s="417"/>
      <c r="P9" s="422">
        <f>IF(M9&gt;2650,N9,N9/2)</f>
        <v>6</v>
      </c>
      <c r="Q9" s="249"/>
      <c r="R9" s="249"/>
      <c r="S9" s="338">
        <f>P9*BW9</f>
        <v>32465.879999999997</v>
      </c>
      <c r="T9" s="255"/>
      <c r="U9" s="436" t="str">
        <f t="shared" ref="U9:U18" si="0">K9</f>
        <v>вертикальный профиль</v>
      </c>
      <c r="V9" s="420">
        <f t="shared" ref="V9:AG11" si="1">IF($Z$3=$CF$21,BA9,IF($Z$3=$CF$27,BA42,IF($Z$3=$CF$28,BA59,BA26)))</f>
        <v>0</v>
      </c>
      <c r="W9" s="420">
        <f t="shared" si="1"/>
        <v>0</v>
      </c>
      <c r="X9" s="420">
        <f t="shared" si="1"/>
        <v>0</v>
      </c>
      <c r="Y9" s="420">
        <f t="shared" si="1"/>
        <v>0</v>
      </c>
      <c r="Z9" s="420">
        <f t="shared" si="1"/>
        <v>0</v>
      </c>
      <c r="AA9" s="420">
        <f t="shared" si="1"/>
        <v>0</v>
      </c>
      <c r="AB9" s="420">
        <f t="shared" si="1"/>
        <v>0</v>
      </c>
      <c r="AC9" s="420">
        <f t="shared" si="1"/>
        <v>0</v>
      </c>
      <c r="AD9" s="420">
        <f t="shared" si="1"/>
        <v>0</v>
      </c>
      <c r="AE9" s="420">
        <f t="shared" si="1"/>
        <v>0</v>
      </c>
      <c r="AF9" s="420">
        <f t="shared" si="1"/>
        <v>0</v>
      </c>
      <c r="AG9" s="420">
        <f t="shared" si="1"/>
        <v>6</v>
      </c>
      <c r="AH9" s="352"/>
      <c r="AI9" s="242">
        <f>S9</f>
        <v>32465.879999999997</v>
      </c>
      <c r="AJ9" s="442"/>
      <c r="AK9" s="442"/>
      <c r="AL9" s="442"/>
      <c r="AM9" s="442"/>
      <c r="AN9" s="442"/>
      <c r="AO9" s="442"/>
      <c r="AP9" s="442"/>
      <c r="AQ9" s="442"/>
      <c r="AR9" s="442"/>
      <c r="AS9" s="442"/>
      <c r="AT9" s="442"/>
      <c r="AU9" s="442"/>
      <c r="AV9" s="453"/>
      <c r="AW9" s="453"/>
      <c r="AX9" s="453"/>
      <c r="AY9" s="362">
        <v>0.69</v>
      </c>
      <c r="AZ9" s="3">
        <f>AY9*M9*N9/1000</f>
        <v>21.031199999999998</v>
      </c>
      <c r="BA9" s="141">
        <v>0</v>
      </c>
      <c r="BB9" s="141">
        <v>0</v>
      </c>
      <c r="BC9" s="141">
        <v>0</v>
      </c>
      <c r="BD9" s="141">
        <v>0</v>
      </c>
      <c r="BE9" s="141">
        <v>0</v>
      </c>
      <c r="BF9" s="141">
        <v>0</v>
      </c>
      <c r="BG9" s="141">
        <v>0</v>
      </c>
      <c r="BH9" s="141">
        <v>0</v>
      </c>
      <c r="BI9" s="141">
        <v>0</v>
      </c>
      <c r="BJ9" s="141">
        <v>0</v>
      </c>
      <c r="BK9" s="141">
        <v>0</v>
      </c>
      <c r="BL9" s="315">
        <f>P9</f>
        <v>6</v>
      </c>
      <c r="BM9" s="141"/>
      <c r="BN9" s="188"/>
      <c r="BO9" s="188"/>
      <c r="BS9" s="188"/>
      <c r="BT9" s="144"/>
      <c r="BU9" s="144"/>
      <c r="BV9" s="144"/>
      <c r="BW9" s="144">
        <f t="array" ref="BW9">INDEX(Цены!J:J,MATCH(J9&amp;$E$8,Цены!C:C&amp;Цены!G:G,0))</f>
        <v>5410.98</v>
      </c>
      <c r="BX9" s="144"/>
      <c r="BY9" s="51" t="s">
        <v>97</v>
      </c>
      <c r="CF9" s="1" t="s">
        <v>462</v>
      </c>
    </row>
    <row r="10" spans="2:91" ht="25.05" customHeight="1" thickBot="1" x14ac:dyDescent="0.35">
      <c r="B10" s="533" t="s">
        <v>440</v>
      </c>
      <c r="C10" s="534"/>
      <c r="D10" s="534"/>
      <c r="E10" s="514">
        <v>3</v>
      </c>
      <c r="F10" s="514"/>
      <c r="G10" s="514"/>
      <c r="H10" s="515"/>
      <c r="J10" s="459" t="s">
        <v>455</v>
      </c>
      <c r="K10" s="418" t="s">
        <v>455</v>
      </c>
      <c r="L10" s="236" t="s">
        <v>456</v>
      </c>
      <c r="M10" s="417">
        <f>M9</f>
        <v>2540</v>
      </c>
      <c r="N10" s="432">
        <v>2</v>
      </c>
      <c r="O10" s="419"/>
      <c r="P10" s="422">
        <f>IF(M10&gt;2650,N10,N10/2)</f>
        <v>1</v>
      </c>
      <c r="Q10" s="50"/>
      <c r="R10" s="50"/>
      <c r="S10" s="371">
        <f>P10*BW10</f>
        <v>3191.28</v>
      </c>
      <c r="T10" s="255"/>
      <c r="U10" s="436" t="str">
        <f t="shared" si="0"/>
        <v>угловой профиль</v>
      </c>
      <c r="V10" s="420">
        <f t="shared" si="1"/>
        <v>0</v>
      </c>
      <c r="W10" s="420">
        <f t="shared" si="1"/>
        <v>0</v>
      </c>
      <c r="X10" s="420">
        <f t="shared" si="1"/>
        <v>0</v>
      </c>
      <c r="Y10" s="420">
        <f t="shared" si="1"/>
        <v>0</v>
      </c>
      <c r="Z10" s="420">
        <f t="shared" si="1"/>
        <v>0</v>
      </c>
      <c r="AA10" s="420">
        <f t="shared" si="1"/>
        <v>0</v>
      </c>
      <c r="AB10" s="420">
        <f t="shared" si="1"/>
        <v>0</v>
      </c>
      <c r="AC10" s="420">
        <f t="shared" si="1"/>
        <v>0</v>
      </c>
      <c r="AD10" s="420">
        <f t="shared" si="1"/>
        <v>0</v>
      </c>
      <c r="AE10" s="420">
        <f t="shared" si="1"/>
        <v>0</v>
      </c>
      <c r="AF10" s="420">
        <f t="shared" si="1"/>
        <v>0</v>
      </c>
      <c r="AG10" s="420">
        <f t="shared" si="1"/>
        <v>1</v>
      </c>
      <c r="AH10" s="186"/>
      <c r="AI10" s="242">
        <f>S10</f>
        <v>3191.28</v>
      </c>
      <c r="AJ10" s="442"/>
      <c r="AK10" s="442"/>
      <c r="AL10" s="442"/>
      <c r="AM10" s="442"/>
      <c r="AN10" s="442"/>
      <c r="AO10" s="442"/>
      <c r="AP10" s="442"/>
      <c r="AQ10" s="442"/>
      <c r="AR10" s="442"/>
      <c r="AS10" s="442"/>
      <c r="AT10" s="442"/>
      <c r="AU10" s="442"/>
      <c r="AV10" s="453"/>
      <c r="AW10" s="453"/>
      <c r="AX10" s="453"/>
      <c r="AY10" s="450">
        <v>0.36899999999999999</v>
      </c>
      <c r="AZ10" s="3">
        <f>AY10*M10*N10/1000</f>
        <v>1.87452</v>
      </c>
      <c r="BA10" s="141">
        <v>0</v>
      </c>
      <c r="BB10" s="141">
        <v>0</v>
      </c>
      <c r="BC10" s="141">
        <v>0</v>
      </c>
      <c r="BD10" s="141">
        <v>0</v>
      </c>
      <c r="BE10" s="141">
        <v>0</v>
      </c>
      <c r="BF10" s="141">
        <v>0</v>
      </c>
      <c r="BG10" s="141">
        <v>0</v>
      </c>
      <c r="BH10" s="141">
        <v>0</v>
      </c>
      <c r="BI10" s="141">
        <v>0</v>
      </c>
      <c r="BJ10" s="141">
        <v>0</v>
      </c>
      <c r="BK10" s="141">
        <v>0</v>
      </c>
      <c r="BL10" s="315">
        <f>P10</f>
        <v>1</v>
      </c>
      <c r="BP10" s="188" t="s">
        <v>448</v>
      </c>
      <c r="BQ10" s="188"/>
      <c r="BR10" s="188" t="s">
        <v>447</v>
      </c>
      <c r="BW10" s="144">
        <f t="array" ref="BW10">IFERROR(INDEX(Цены!J:J,MATCH(J10&amp;$E$8,Цены!C:C&amp;Цены!G:G,0)),Цены!J71)</f>
        <v>3191.28</v>
      </c>
      <c r="BX10" s="3"/>
      <c r="BY10" s="51" t="s">
        <v>157</v>
      </c>
      <c r="CF10" s="1" t="s">
        <v>460</v>
      </c>
    </row>
    <row r="11" spans="2:91" ht="25.05" customHeight="1" x14ac:dyDescent="0.3">
      <c r="B11" s="533" t="s">
        <v>252</v>
      </c>
      <c r="C11" s="534"/>
      <c r="D11" s="534"/>
      <c r="E11" s="512" t="s">
        <v>99</v>
      </c>
      <c r="F11" s="512"/>
      <c r="G11" s="512"/>
      <c r="H11" s="513"/>
      <c r="J11" s="458" t="s">
        <v>4</v>
      </c>
      <c r="K11" s="22" t="s">
        <v>441</v>
      </c>
      <c r="L11" s="235" t="s">
        <v>191</v>
      </c>
      <c r="M11" s="417">
        <f>E4-8</f>
        <v>2492</v>
      </c>
      <c r="N11" s="432">
        <f>E9</f>
        <v>3</v>
      </c>
      <c r="O11" s="543">
        <f>M11*N11+M12*N12</f>
        <v>14952</v>
      </c>
      <c r="P11" s="501">
        <f>AF11+Z11</f>
        <v>6</v>
      </c>
      <c r="Q11" s="249"/>
      <c r="R11" s="249"/>
      <c r="S11" s="483">
        <f>P11*BW11</f>
        <v>34896.42</v>
      </c>
      <c r="U11" s="436" t="str">
        <f t="shared" si="0"/>
        <v>направляющая верхняя А</v>
      </c>
      <c r="V11" s="484">
        <f t="shared" si="1"/>
        <v>0</v>
      </c>
      <c r="W11" s="484">
        <f t="shared" si="1"/>
        <v>0</v>
      </c>
      <c r="X11" s="484">
        <f t="shared" si="1"/>
        <v>0</v>
      </c>
      <c r="Y11" s="484">
        <f t="shared" si="1"/>
        <v>0</v>
      </c>
      <c r="Z11" s="484">
        <f t="shared" si="1"/>
        <v>0</v>
      </c>
      <c r="AA11" s="484">
        <f t="shared" si="1"/>
        <v>0</v>
      </c>
      <c r="AB11" s="484">
        <f t="shared" si="1"/>
        <v>0</v>
      </c>
      <c r="AC11" s="484">
        <f t="shared" si="1"/>
        <v>0</v>
      </c>
      <c r="AD11" s="484">
        <f t="shared" si="1"/>
        <v>0</v>
      </c>
      <c r="AE11" s="484">
        <f t="shared" si="1"/>
        <v>0</v>
      </c>
      <c r="AF11" s="484">
        <f t="shared" si="1"/>
        <v>6</v>
      </c>
      <c r="AG11" s="484">
        <f t="shared" si="1"/>
        <v>0</v>
      </c>
      <c r="AH11" s="559">
        <f>AV11</f>
        <v>30000</v>
      </c>
      <c r="AI11" s="560">
        <f>Z11*BW11*0.5+AF11*BW11</f>
        <v>34896.42</v>
      </c>
      <c r="AJ11" s="442">
        <f>V11*$V$8</f>
        <v>0</v>
      </c>
      <c r="AK11" s="442">
        <f>W11*$W$8</f>
        <v>0</v>
      </c>
      <c r="AL11" s="442">
        <f>X11*$X$8</f>
        <v>0</v>
      </c>
      <c r="AM11" s="442">
        <f>Y11*$Y$8</f>
        <v>0</v>
      </c>
      <c r="AN11" s="442">
        <f>Z11*$Z$8</f>
        <v>0</v>
      </c>
      <c r="AO11" s="442">
        <f>AA11*$AA$8</f>
        <v>0</v>
      </c>
      <c r="AP11" s="442">
        <f>AB11*$AB$8</f>
        <v>0</v>
      </c>
      <c r="AQ11" s="442">
        <f>AC11*$AC$8</f>
        <v>0</v>
      </c>
      <c r="AR11" s="442">
        <f>AD11*$AD$8</f>
        <v>0</v>
      </c>
      <c r="AS11" s="442">
        <f>AE11*$AE$8</f>
        <v>0</v>
      </c>
      <c r="AT11" s="442">
        <f>AF11*$AF$8</f>
        <v>30000</v>
      </c>
      <c r="AU11" s="442">
        <f>AG11*$AG$8</f>
        <v>0</v>
      </c>
      <c r="AV11" s="453">
        <f>SUM(AJ11:AU11)</f>
        <v>30000</v>
      </c>
      <c r="AW11" s="453"/>
      <c r="AX11" s="453"/>
      <c r="AY11" s="3"/>
      <c r="AZ11" s="3"/>
      <c r="BA11" s="143">
        <v>0</v>
      </c>
      <c r="BB11" s="143">
        <v>0</v>
      </c>
      <c r="BC11" s="143">
        <v>0</v>
      </c>
      <c r="BD11" s="143">
        <v>0</v>
      </c>
      <c r="BE11" s="141">
        <f>IF(AND((E4+E5)&gt;BD5,BP11=1),1,0)</f>
        <v>0</v>
      </c>
      <c r="BF11" s="143">
        <v>0</v>
      </c>
      <c r="BG11" s="143">
        <v>0</v>
      </c>
      <c r="BH11" s="143">
        <v>0</v>
      </c>
      <c r="BI11" s="143">
        <v>0</v>
      </c>
      <c r="BJ11" s="143">
        <v>0</v>
      </c>
      <c r="BK11" s="141">
        <f>IF(E4+E5&lt;=4950,BR11,IF(AND(BM11&gt;2500,BM11&lt;=4950),BN11+1,BN11)+IF(AND(BM12&gt;2500,BM12&lt;=4950),BN12+1,BN12)+IF(BP11=2,1,0))</f>
        <v>6</v>
      </c>
      <c r="BL11" s="143">
        <v>0</v>
      </c>
      <c r="BM11" s="185">
        <f>M11*N11-INT($BD$5/M11)*M11*BN11</f>
        <v>0</v>
      </c>
      <c r="BN11" s="141">
        <f>IF(E4&gt;BD5,0,INT(N11/INT($BD$5/M11)))</f>
        <v>3</v>
      </c>
      <c r="BO11" s="141"/>
      <c r="BP11" s="141">
        <f>IF(AND(BM11&gt;0,BM11&lt;=2500),1,0)+IF(AND(BM12&gt;0,BM12&lt;=2500),1,0)</f>
        <v>0</v>
      </c>
      <c r="BQ11" s="141"/>
      <c r="BR11" s="141">
        <f>ROUNDUP(IF($E$4+$E$5&lt;=5000,$O$11/$BD$5,0),0)</f>
        <v>4</v>
      </c>
      <c r="BS11" s="141"/>
      <c r="BT11" s="3"/>
      <c r="BU11" s="3"/>
      <c r="BV11" s="3"/>
      <c r="BW11" s="144">
        <f t="array" ref="BW11">IFERROR(INDEX(Цены!J:J,MATCH(J11&amp;$E$8,Цены!C:C&amp;Цены!G:G,0)),Цены!J33)</f>
        <v>5816.07</v>
      </c>
      <c r="BX11" s="144"/>
      <c r="BY11" s="51" t="s">
        <v>106</v>
      </c>
      <c r="CF11" s="1" t="s">
        <v>461</v>
      </c>
    </row>
    <row r="12" spans="2:91" ht="25.05" customHeight="1" x14ac:dyDescent="0.3">
      <c r="B12" s="510" t="s">
        <v>464</v>
      </c>
      <c r="C12" s="511"/>
      <c r="D12" s="511"/>
      <c r="E12" s="512" t="s">
        <v>99</v>
      </c>
      <c r="F12" s="512"/>
      <c r="G12" s="512"/>
      <c r="H12" s="513"/>
      <c r="J12" s="458" t="s">
        <v>4</v>
      </c>
      <c r="K12" s="22" t="s">
        <v>442</v>
      </c>
      <c r="L12" s="235" t="s">
        <v>191</v>
      </c>
      <c r="M12" s="417">
        <f>E5-8</f>
        <v>2492</v>
      </c>
      <c r="N12" s="432">
        <f>E10</f>
        <v>3</v>
      </c>
      <c r="O12" s="543"/>
      <c r="P12" s="501"/>
      <c r="Q12" s="50"/>
      <c r="R12" s="50"/>
      <c r="S12" s="483"/>
      <c r="T12" s="255"/>
      <c r="U12" s="436" t="str">
        <f t="shared" si="0"/>
        <v>направляющая верхняя Б</v>
      </c>
      <c r="V12" s="484"/>
      <c r="W12" s="484"/>
      <c r="X12" s="484"/>
      <c r="Y12" s="484"/>
      <c r="Z12" s="484"/>
      <c r="AA12" s="484"/>
      <c r="AB12" s="484"/>
      <c r="AC12" s="484"/>
      <c r="AD12" s="484"/>
      <c r="AE12" s="484"/>
      <c r="AF12" s="484"/>
      <c r="AG12" s="484"/>
      <c r="AH12" s="559"/>
      <c r="AI12" s="560"/>
      <c r="AJ12" s="442"/>
      <c r="AK12" s="442"/>
      <c r="AL12" s="442"/>
      <c r="AM12" s="442"/>
      <c r="AN12" s="442"/>
      <c r="AO12" s="442"/>
      <c r="AP12" s="442"/>
      <c r="AQ12" s="442"/>
      <c r="AR12" s="442"/>
      <c r="AS12" s="442"/>
      <c r="AT12" s="442"/>
      <c r="AU12" s="442"/>
      <c r="AV12" s="453"/>
      <c r="AW12" s="453"/>
      <c r="AX12" s="453"/>
      <c r="BM12" s="185">
        <f>M12*N12-INT($BD$5/M12)*M12*BN12</f>
        <v>0</v>
      </c>
      <c r="BN12" s="141">
        <f>IF(E5&gt;BD5,0,INT(N12/INT($BD$5/M12)))</f>
        <v>3</v>
      </c>
      <c r="BP12" s="141"/>
      <c r="BR12" s="141"/>
      <c r="BW12" s="144"/>
      <c r="BX12" s="144"/>
      <c r="BY12" s="51" t="s">
        <v>130</v>
      </c>
    </row>
    <row r="13" spans="2:91" ht="25.05" customHeight="1" x14ac:dyDescent="0.3">
      <c r="B13" s="516" t="s">
        <v>158</v>
      </c>
      <c r="C13" s="517"/>
      <c r="D13" s="517"/>
      <c r="E13" s="512" t="s">
        <v>80</v>
      </c>
      <c r="F13" s="512"/>
      <c r="G13" s="512"/>
      <c r="H13" s="513"/>
      <c r="J13" s="460" t="s">
        <v>5</v>
      </c>
      <c r="K13" s="431" t="s">
        <v>443</v>
      </c>
      <c r="L13" s="238" t="s">
        <v>192</v>
      </c>
      <c r="M13" s="337">
        <f>E4</f>
        <v>2500</v>
      </c>
      <c r="N13" s="432">
        <v>2</v>
      </c>
      <c r="O13" s="543">
        <f>M13*N13+M14*N14</f>
        <v>10000</v>
      </c>
      <c r="P13" s="501">
        <f>AF13+Z13</f>
        <v>2</v>
      </c>
      <c r="Q13" s="249"/>
      <c r="R13" s="249"/>
      <c r="S13" s="483">
        <f>P13*BW13</f>
        <v>3785.9</v>
      </c>
      <c r="T13" s="255"/>
      <c r="U13" s="436" t="str">
        <f t="shared" si="0"/>
        <v>накладка декоративная А</v>
      </c>
      <c r="V13" s="484">
        <f t="shared" ref="V13:AG13" si="2">IF($Z$3=$CF$21,BA13,IF($Z$3=$CF$27,BA46,IF($Z$3=$CF$28,BA63,BA30)))</f>
        <v>0</v>
      </c>
      <c r="W13" s="484">
        <f t="shared" si="2"/>
        <v>0</v>
      </c>
      <c r="X13" s="484">
        <f t="shared" si="2"/>
        <v>0</v>
      </c>
      <c r="Y13" s="484">
        <f t="shared" si="2"/>
        <v>0</v>
      </c>
      <c r="Z13" s="484">
        <f t="shared" si="2"/>
        <v>0</v>
      </c>
      <c r="AA13" s="484">
        <f t="shared" si="2"/>
        <v>0</v>
      </c>
      <c r="AB13" s="484">
        <f t="shared" si="2"/>
        <v>0</v>
      </c>
      <c r="AC13" s="484">
        <f t="shared" si="2"/>
        <v>0</v>
      </c>
      <c r="AD13" s="484">
        <f t="shared" si="2"/>
        <v>0</v>
      </c>
      <c r="AE13" s="484">
        <f t="shared" si="2"/>
        <v>0</v>
      </c>
      <c r="AF13" s="484">
        <f t="shared" si="2"/>
        <v>2</v>
      </c>
      <c r="AG13" s="484">
        <f t="shared" si="2"/>
        <v>0</v>
      </c>
      <c r="AH13" s="559">
        <f>AV13</f>
        <v>10000</v>
      </c>
      <c r="AI13" s="560">
        <f>(Z13*0.5+AF13)*BW13</f>
        <v>3785.9</v>
      </c>
      <c r="AJ13" s="442">
        <f t="shared" ref="AJ13:AJ17" si="3">V13*$V$8</f>
        <v>0</v>
      </c>
      <c r="AK13" s="442">
        <f t="shared" ref="AK13:AK17" si="4">W13*$W$8</f>
        <v>0</v>
      </c>
      <c r="AL13" s="442">
        <f t="shared" ref="AL13:AL17" si="5">X13*$X$8</f>
        <v>0</v>
      </c>
      <c r="AM13" s="442">
        <f t="shared" ref="AM13:AM17" si="6">Y13*$Y$8</f>
        <v>0</v>
      </c>
      <c r="AN13" s="442">
        <f t="shared" ref="AN13:AN17" si="7">Z13*$Z$8</f>
        <v>0</v>
      </c>
      <c r="AO13" s="442">
        <f t="shared" ref="AO13:AO17" si="8">AA13*$AA$8</f>
        <v>0</v>
      </c>
      <c r="AP13" s="442">
        <f t="shared" ref="AP13:AP17" si="9">AB13*$AB$8</f>
        <v>0</v>
      </c>
      <c r="AQ13" s="442">
        <f t="shared" ref="AQ13:AQ17" si="10">AC13*$AC$8</f>
        <v>0</v>
      </c>
      <c r="AR13" s="442">
        <f t="shared" ref="AR13:AR17" si="11">AD13*$AD$8</f>
        <v>0</v>
      </c>
      <c r="AS13" s="442">
        <f t="shared" ref="AS13:AS17" si="12">AE13*$AE$8</f>
        <v>0</v>
      </c>
      <c r="AT13" s="442">
        <f t="shared" ref="AT13:AT17" si="13">AF13*$AF$8</f>
        <v>10000</v>
      </c>
      <c r="AU13" s="442">
        <f t="shared" ref="AU13:AU17" si="14">AG13*$AG$8</f>
        <v>0</v>
      </c>
      <c r="AV13" s="453">
        <f>SUM(AJ13:AU13)</f>
        <v>10000</v>
      </c>
      <c r="AW13" s="453"/>
      <c r="AX13" s="453"/>
      <c r="AY13" s="3"/>
      <c r="AZ13" s="3"/>
      <c r="BA13" s="143">
        <v>0</v>
      </c>
      <c r="BB13" s="143">
        <v>0</v>
      </c>
      <c r="BC13" s="143">
        <v>0</v>
      </c>
      <c r="BD13" s="143">
        <v>0</v>
      </c>
      <c r="BE13" s="141">
        <f t="shared" ref="BE13" si="15">IF(BP13=1,1,0)</f>
        <v>0</v>
      </c>
      <c r="BF13" s="143">
        <v>0</v>
      </c>
      <c r="BG13" s="143">
        <v>0</v>
      </c>
      <c r="BH13" s="143">
        <v>0</v>
      </c>
      <c r="BI13" s="143">
        <v>0</v>
      </c>
      <c r="BJ13" s="143">
        <v>0</v>
      </c>
      <c r="BK13" s="141">
        <f>IF(E4+E5&lt;=5025,BR13,IF(AND(BM13&gt;2500,BM13&lt;=5025),BN13+1,BN13)+IF(AND(BM14&gt;2500,BM14&lt;=5025),BN14+1,BN14)+IF(BP13=2,1,0))</f>
        <v>2</v>
      </c>
      <c r="BL13" s="143">
        <v>0</v>
      </c>
      <c r="BM13" s="185">
        <f>M13*N13-INT($BD$6/M13)*M13*BN13</f>
        <v>0</v>
      </c>
      <c r="BN13" s="141">
        <f>IF($E$4&gt;BD6,0,INT(N13/INT($BD$6/M13)))</f>
        <v>1</v>
      </c>
      <c r="BO13" s="141"/>
      <c r="BP13" s="141">
        <f t="shared" ref="BP13" si="16">IF(AND(BM13&gt;0,BM13&lt;=2500),1,0)+IF(AND(BM14&gt;0,BM14&lt;=2500),1,0)</f>
        <v>0</v>
      </c>
      <c r="BQ13" s="188"/>
      <c r="BR13" s="141">
        <f>ROUNDUP(IF($E$4+$E$5&lt;=5075,O13/BD6,0),0)</f>
        <v>2</v>
      </c>
      <c r="BS13" s="188"/>
      <c r="BT13" s="144"/>
      <c r="BU13" s="144"/>
      <c r="BV13" s="144"/>
      <c r="BW13" s="144">
        <f t="array" ref="BW13">INDEX(Цены!J:J,MATCH(J13&amp;$E$8,Цены!C:C&amp;Цены!G:G,0))</f>
        <v>1892.95</v>
      </c>
      <c r="BX13" s="144"/>
      <c r="BY13" s="51" t="s">
        <v>183</v>
      </c>
    </row>
    <row r="14" spans="2:91" ht="25.05" customHeight="1" x14ac:dyDescent="0.3">
      <c r="B14" s="510" t="s">
        <v>125</v>
      </c>
      <c r="C14" s="511"/>
      <c r="D14" s="511"/>
      <c r="E14" s="512" t="s">
        <v>99</v>
      </c>
      <c r="F14" s="512"/>
      <c r="G14" s="512"/>
      <c r="H14" s="513"/>
      <c r="J14" s="460" t="s">
        <v>5</v>
      </c>
      <c r="K14" s="431" t="s">
        <v>444</v>
      </c>
      <c r="L14" s="238" t="s">
        <v>192</v>
      </c>
      <c r="M14" s="128">
        <f>E5</f>
        <v>2500</v>
      </c>
      <c r="N14" s="129">
        <v>2</v>
      </c>
      <c r="O14" s="543"/>
      <c r="P14" s="501"/>
      <c r="Q14" s="249"/>
      <c r="R14" s="249"/>
      <c r="S14" s="483"/>
      <c r="T14" s="255"/>
      <c r="U14" s="436" t="str">
        <f t="shared" si="0"/>
        <v>накладка декоративная Б</v>
      </c>
      <c r="V14" s="484"/>
      <c r="W14" s="484"/>
      <c r="X14" s="484"/>
      <c r="Y14" s="484"/>
      <c r="Z14" s="484"/>
      <c r="AA14" s="484"/>
      <c r="AB14" s="484"/>
      <c r="AC14" s="484"/>
      <c r="AD14" s="484"/>
      <c r="AE14" s="484"/>
      <c r="AF14" s="484"/>
      <c r="AG14" s="484"/>
      <c r="AH14" s="559"/>
      <c r="AI14" s="560"/>
      <c r="AJ14" s="442"/>
      <c r="AK14" s="442"/>
      <c r="AL14" s="442"/>
      <c r="AM14" s="442"/>
      <c r="AN14" s="442"/>
      <c r="AO14" s="442"/>
      <c r="AP14" s="442"/>
      <c r="AQ14" s="442"/>
      <c r="AR14" s="442"/>
      <c r="AS14" s="442"/>
      <c r="AT14" s="442"/>
      <c r="AU14" s="442"/>
      <c r="AV14" s="453"/>
      <c r="AW14" s="453"/>
      <c r="AX14" s="453"/>
      <c r="AY14" s="3"/>
      <c r="AZ14" s="3"/>
      <c r="BA14" s="141"/>
      <c r="BB14" s="141"/>
      <c r="BC14" s="141"/>
      <c r="BD14" s="141"/>
      <c r="BE14" s="141"/>
      <c r="BF14" s="141"/>
      <c r="BG14" s="141"/>
      <c r="BH14" s="141"/>
      <c r="BI14" s="141"/>
      <c r="BJ14" s="141"/>
      <c r="BK14" s="141"/>
      <c r="BL14" s="141"/>
      <c r="BM14" s="185">
        <f>M14*N14-INT($BD$6/M14)*M14*BN14</f>
        <v>0</v>
      </c>
      <c r="BN14" s="141">
        <f>IF($E$4&gt;BD6,0,INT(N14/INT($BD$6/M14)))</f>
        <v>1</v>
      </c>
      <c r="BO14" s="141"/>
      <c r="BP14" s="141"/>
      <c r="BQ14" s="188"/>
      <c r="BR14" s="188"/>
      <c r="BS14" s="188"/>
      <c r="BT14" s="144"/>
      <c r="BU14" s="144"/>
      <c r="BV14" s="144"/>
      <c r="BW14" s="144"/>
      <c r="BX14" s="152"/>
      <c r="BY14" s="1" t="s">
        <v>189</v>
      </c>
      <c r="CH14" s="1" t="s">
        <v>174</v>
      </c>
    </row>
    <row r="15" spans="2:91" ht="25.05" customHeight="1" x14ac:dyDescent="0.3">
      <c r="B15" s="510" t="s">
        <v>165</v>
      </c>
      <c r="C15" s="511"/>
      <c r="D15" s="511"/>
      <c r="E15" s="514" t="s">
        <v>99</v>
      </c>
      <c r="F15" s="514"/>
      <c r="G15" s="514"/>
      <c r="H15" s="515"/>
      <c r="J15" s="458" t="s">
        <v>3</v>
      </c>
      <c r="K15" s="22" t="s">
        <v>445</v>
      </c>
      <c r="L15" s="238" t="s">
        <v>259</v>
      </c>
      <c r="M15" s="417">
        <f>L5-78</f>
        <v>767</v>
      </c>
      <c r="N15" s="432">
        <f>E9*2</f>
        <v>6</v>
      </c>
      <c r="O15" s="543">
        <f>M15*N15+M16*N16</f>
        <v>9204</v>
      </c>
      <c r="P15" s="501">
        <f>BN15+BN16+IF(BM15+BM16&gt;BD5,2,IF(BM15+BM16=0,0,1))</f>
        <v>2</v>
      </c>
      <c r="Q15" s="249"/>
      <c r="R15" s="249"/>
      <c r="S15" s="483">
        <f>P15*BW15</f>
        <v>6534.3</v>
      </c>
      <c r="U15" s="436" t="str">
        <f t="shared" si="0"/>
        <v>рамка верхняя А</v>
      </c>
      <c r="V15" s="484">
        <f t="shared" ref="V15:AG15" si="17">IF($Z$3=$CF$21,BA15,IF($Z$3=$CF$27,BA48,IF($Z$3=$CF$28,BA65,BA32)))</f>
        <v>0</v>
      </c>
      <c r="W15" s="484">
        <f t="shared" si="17"/>
        <v>0</v>
      </c>
      <c r="X15" s="484">
        <f t="shared" si="17"/>
        <v>0</v>
      </c>
      <c r="Y15" s="484">
        <f t="shared" si="17"/>
        <v>0</v>
      </c>
      <c r="Z15" s="484">
        <f t="shared" si="17"/>
        <v>0</v>
      </c>
      <c r="AA15" s="484">
        <f t="shared" si="17"/>
        <v>0</v>
      </c>
      <c r="AB15" s="484">
        <f t="shared" si="17"/>
        <v>0</v>
      </c>
      <c r="AC15" s="484">
        <f t="shared" si="17"/>
        <v>0</v>
      </c>
      <c r="AD15" s="484">
        <f t="shared" si="17"/>
        <v>0</v>
      </c>
      <c r="AE15" s="484">
        <f t="shared" si="17"/>
        <v>0</v>
      </c>
      <c r="AF15" s="484">
        <f t="shared" si="17"/>
        <v>2</v>
      </c>
      <c r="AG15" s="484">
        <f t="shared" si="17"/>
        <v>0</v>
      </c>
      <c r="AH15" s="559">
        <f>AV15</f>
        <v>10000</v>
      </c>
      <c r="AI15" s="560">
        <f>(V15*0.2+W15*0.25+Y15*0.4+Z15*0.5+AB15*0.6+AD15*0.75+AE15*0.8+AF15)*BW15</f>
        <v>6534.3</v>
      </c>
      <c r="AJ15" s="442">
        <f t="shared" si="3"/>
        <v>0</v>
      </c>
      <c r="AK15" s="442">
        <f t="shared" si="4"/>
        <v>0</v>
      </c>
      <c r="AL15" s="442">
        <f t="shared" si="5"/>
        <v>0</v>
      </c>
      <c r="AM15" s="442">
        <f t="shared" si="6"/>
        <v>0</v>
      </c>
      <c r="AN15" s="442">
        <f t="shared" si="7"/>
        <v>0</v>
      </c>
      <c r="AO15" s="442">
        <f t="shared" si="8"/>
        <v>0</v>
      </c>
      <c r="AP15" s="442">
        <f t="shared" si="9"/>
        <v>0</v>
      </c>
      <c r="AQ15" s="442">
        <f t="shared" si="10"/>
        <v>0</v>
      </c>
      <c r="AR15" s="442">
        <f t="shared" si="11"/>
        <v>0</v>
      </c>
      <c r="AS15" s="442">
        <f t="shared" si="12"/>
        <v>0</v>
      </c>
      <c r="AT15" s="442">
        <f t="shared" si="13"/>
        <v>10000</v>
      </c>
      <c r="AU15" s="442">
        <f t="shared" si="14"/>
        <v>0</v>
      </c>
      <c r="AV15" s="453">
        <f>SUM(AJ15:AU15)</f>
        <v>10000</v>
      </c>
      <c r="AW15" s="453"/>
      <c r="AX15" s="453"/>
      <c r="AY15" s="363">
        <v>0.47399999999999998</v>
      </c>
      <c r="AZ15" s="3">
        <f>AY15*M15*N15/1000</f>
        <v>2.1813479999999998</v>
      </c>
      <c r="BA15" s="141">
        <f>IF(AND((BM15+BM16)&gt;0,(BM15+BM16)&lt;=1000),1,0)</f>
        <v>0</v>
      </c>
      <c r="BB15" s="143">
        <v>0</v>
      </c>
      <c r="BC15" s="143">
        <v>0</v>
      </c>
      <c r="BD15" s="141">
        <f>IF(AND((BM15+BM16)&gt;1000,(BM15+BM16)&lt;=2000),1,0)</f>
        <v>0</v>
      </c>
      <c r="BE15" s="143">
        <v>0</v>
      </c>
      <c r="BF15" s="143">
        <v>0</v>
      </c>
      <c r="BG15" s="141">
        <f>IF(AND((BM15+BM16)&gt;2000,(BM15+BM16)&lt;=3000),1,0)+IF(AND(BM15&gt;2000,BM15&lt;=3000),1,0)+IF(AND(BM16&gt;2000,BM16&lt;=3000),1,0)</f>
        <v>0</v>
      </c>
      <c r="BH15" s="143">
        <v>0</v>
      </c>
      <c r="BI15" s="143">
        <v>0</v>
      </c>
      <c r="BJ15" s="141">
        <f>IF(AND(BM15&gt;3000,BM15&lt;=4000),1,0)+IF(AND(BM16&gt;3000,BM16&lt;=4000),1,0)+IF(AND((BM15+BM16)&gt;3000,(BM15+BM16)&lt;=4000),1,0)</f>
        <v>0</v>
      </c>
      <c r="BK15" s="141">
        <f>IF(BP15=1,0,IF(AND(BM15&gt;4000,BM15&lt;=4950),1,0)+IF(AND(BM16&gt;4000,BM16&lt;=4950),1,0))+BP15+BN15+BN16</f>
        <v>2</v>
      </c>
      <c r="BL15" s="143">
        <v>0</v>
      </c>
      <c r="BM15" s="185">
        <f>M15*N15-INT($BD$5/M15)*M15*BN15</f>
        <v>0</v>
      </c>
      <c r="BN15" s="141">
        <f>INT(N15/INT($BD$5/M15))</f>
        <v>1</v>
      </c>
      <c r="BO15" s="141"/>
      <c r="BP15" s="141">
        <f>IF(AND((BM15+BM16)&gt;4000,(BM15+BM16)&lt;=5000),1,0)</f>
        <v>0</v>
      </c>
      <c r="BQ15" s="188"/>
      <c r="BR15" s="188"/>
      <c r="BS15" s="188"/>
      <c r="BT15" s="144"/>
      <c r="BU15" s="144"/>
      <c r="BV15" s="144"/>
      <c r="BW15" s="144">
        <f t="array" ref="BW15">INDEX(Цены!J:J,MATCH(J15&amp;$E$8,Цены!C:C&amp;Цены!G:G,0))</f>
        <v>3267.15</v>
      </c>
      <c r="BX15" s="144"/>
      <c r="CH15" s="1" t="s">
        <v>175</v>
      </c>
    </row>
    <row r="16" spans="2:91" ht="25.05" customHeight="1" x14ac:dyDescent="0.3">
      <c r="B16" s="516" t="s">
        <v>170</v>
      </c>
      <c r="C16" s="517"/>
      <c r="D16" s="517"/>
      <c r="E16" s="514">
        <v>0</v>
      </c>
      <c r="F16" s="514"/>
      <c r="G16" s="514"/>
      <c r="H16" s="515"/>
      <c r="J16" s="458" t="s">
        <v>3</v>
      </c>
      <c r="K16" s="22" t="s">
        <v>446</v>
      </c>
      <c r="L16" s="238" t="s">
        <v>259</v>
      </c>
      <c r="M16" s="417">
        <f>N5-78</f>
        <v>767</v>
      </c>
      <c r="N16" s="432">
        <f>E10*2</f>
        <v>6</v>
      </c>
      <c r="O16" s="543"/>
      <c r="P16" s="501"/>
      <c r="Q16" s="50"/>
      <c r="R16" s="50"/>
      <c r="S16" s="483"/>
      <c r="T16" s="255"/>
      <c r="U16" s="436" t="str">
        <f t="shared" si="0"/>
        <v>рамка верхняя Б</v>
      </c>
      <c r="V16" s="484"/>
      <c r="W16" s="484"/>
      <c r="X16" s="484"/>
      <c r="Y16" s="484"/>
      <c r="Z16" s="484"/>
      <c r="AA16" s="484"/>
      <c r="AB16" s="484"/>
      <c r="AC16" s="484"/>
      <c r="AD16" s="484"/>
      <c r="AE16" s="484"/>
      <c r="AF16" s="484"/>
      <c r="AG16" s="484"/>
      <c r="AH16" s="559"/>
      <c r="AI16" s="560"/>
      <c r="AJ16" s="442"/>
      <c r="AK16" s="442"/>
      <c r="AL16" s="442"/>
      <c r="AM16" s="442"/>
      <c r="AN16" s="442"/>
      <c r="AO16" s="442"/>
      <c r="AP16" s="442"/>
      <c r="AQ16" s="442"/>
      <c r="AR16" s="442"/>
      <c r="AS16" s="442"/>
      <c r="AT16" s="442"/>
      <c r="AU16" s="442"/>
      <c r="AV16" s="453"/>
      <c r="AW16" s="453"/>
      <c r="AX16" s="453"/>
      <c r="AY16" s="363">
        <v>0.47399999999999998</v>
      </c>
      <c r="AZ16" s="3">
        <f>AY16*M16*N16/1000</f>
        <v>2.1813479999999998</v>
      </c>
      <c r="BA16" s="141"/>
      <c r="BB16" s="141"/>
      <c r="BC16" s="141"/>
      <c r="BD16" s="141"/>
      <c r="BE16" s="141"/>
      <c r="BF16" s="141"/>
      <c r="BG16" s="141"/>
      <c r="BH16" s="141"/>
      <c r="BI16" s="141"/>
      <c r="BJ16" s="141"/>
      <c r="BK16" s="141"/>
      <c r="BM16" s="185">
        <f>M16*N16-INT($BD$5/M16)*M16*BN16</f>
        <v>0</v>
      </c>
      <c r="BN16" s="141">
        <f>INT(N16/INT($BD$5/M16))</f>
        <v>1</v>
      </c>
      <c r="BP16" s="141"/>
      <c r="BQ16" s="188"/>
      <c r="BT16" s="188"/>
      <c r="BU16" s="189"/>
      <c r="BV16" s="152"/>
      <c r="BW16" s="144"/>
      <c r="BX16" s="4"/>
    </row>
    <row r="17" spans="2:84" ht="25.05" customHeight="1" x14ac:dyDescent="0.3">
      <c r="B17" s="520" t="s">
        <v>475</v>
      </c>
      <c r="C17" s="521"/>
      <c r="D17" s="521"/>
      <c r="E17" s="522">
        <v>0</v>
      </c>
      <c r="F17" s="522"/>
      <c r="G17" s="522"/>
      <c r="H17" s="523"/>
      <c r="J17" s="461" t="str">
        <f>E7</f>
        <v>рамка средняя 4в1</v>
      </c>
      <c r="K17" s="336" t="str">
        <f>E7&amp;" А"</f>
        <v>рамка средняя 4в1 А</v>
      </c>
      <c r="L17" s="238" t="str">
        <f>IF(E7=CG6,CH6,CH7)</f>
        <v>FA0716.VP500</v>
      </c>
      <c r="M17" s="417">
        <f>IF(AND(E7=CG7,E6&gt;0),L5-78,IF(AND(E7=CG6,E6&gt;0),L5-76,0))</f>
        <v>0</v>
      </c>
      <c r="N17" s="432">
        <f>E9*E6</f>
        <v>0</v>
      </c>
      <c r="O17" s="543">
        <f>M17*N17+M18*N18</f>
        <v>0</v>
      </c>
      <c r="P17" s="501">
        <f>IF(E7=CG7,BN17+BN18+IF(BM17+BM18&gt;BD5,2,IF(BM17+BM18=0,0,1)),BQ17+BQ18+IF(BP17+BP18&gt;BD7,2,IF(BP17+BP18=0,0,1)))</f>
        <v>0</v>
      </c>
      <c r="Q17" s="249"/>
      <c r="R17" s="249"/>
      <c r="S17" s="483">
        <f>P17*BW17</f>
        <v>0</v>
      </c>
      <c r="U17" s="436" t="str">
        <f t="shared" si="0"/>
        <v>рамка средняя 4в1 А</v>
      </c>
      <c r="V17" s="484">
        <f t="shared" ref="V17:AG17" si="18">IF($Z$3=$CF$21,BA17,IF($Z$3=$CF$27,BA50,IF($Z$3=$CF$28,BA67,BA34)))</f>
        <v>0</v>
      </c>
      <c r="W17" s="484">
        <f t="shared" si="18"/>
        <v>0</v>
      </c>
      <c r="X17" s="484">
        <f t="shared" si="18"/>
        <v>0</v>
      </c>
      <c r="Y17" s="484">
        <f t="shared" si="18"/>
        <v>0</v>
      </c>
      <c r="Z17" s="484">
        <f t="shared" si="18"/>
        <v>0</v>
      </c>
      <c r="AA17" s="484">
        <f t="shared" si="18"/>
        <v>0</v>
      </c>
      <c r="AB17" s="484">
        <f t="shared" si="18"/>
        <v>0</v>
      </c>
      <c r="AC17" s="484">
        <f t="shared" si="18"/>
        <v>0</v>
      </c>
      <c r="AD17" s="484">
        <f t="shared" si="18"/>
        <v>0</v>
      </c>
      <c r="AE17" s="484">
        <f t="shared" si="18"/>
        <v>0</v>
      </c>
      <c r="AF17" s="484">
        <f t="shared" si="18"/>
        <v>0</v>
      </c>
      <c r="AG17" s="484">
        <f t="shared" si="18"/>
        <v>0</v>
      </c>
      <c r="AH17" s="559">
        <f>AV17</f>
        <v>0</v>
      </c>
      <c r="AI17" s="560">
        <f>IF(E7=CG6,AX18,AW18)</f>
        <v>0</v>
      </c>
      <c r="AJ17" s="442">
        <f t="shared" si="3"/>
        <v>0</v>
      </c>
      <c r="AK17" s="442">
        <f t="shared" si="4"/>
        <v>0</v>
      </c>
      <c r="AL17" s="442">
        <f t="shared" si="5"/>
        <v>0</v>
      </c>
      <c r="AM17" s="442">
        <f t="shared" si="6"/>
        <v>0</v>
      </c>
      <c r="AN17" s="442">
        <f t="shared" si="7"/>
        <v>0</v>
      </c>
      <c r="AO17" s="442">
        <f t="shared" si="8"/>
        <v>0</v>
      </c>
      <c r="AP17" s="442">
        <f t="shared" si="9"/>
        <v>0</v>
      </c>
      <c r="AQ17" s="442">
        <f t="shared" si="10"/>
        <v>0</v>
      </c>
      <c r="AR17" s="442">
        <f t="shared" si="11"/>
        <v>0</v>
      </c>
      <c r="AS17" s="442">
        <f t="shared" si="12"/>
        <v>0</v>
      </c>
      <c r="AT17" s="442">
        <f t="shared" si="13"/>
        <v>0</v>
      </c>
      <c r="AU17" s="442">
        <f t="shared" si="14"/>
        <v>0</v>
      </c>
      <c r="AV17" s="453">
        <f>SUM(AJ17:AU17)</f>
        <v>0</v>
      </c>
      <c r="AW17" s="188" t="s">
        <v>266</v>
      </c>
      <c r="AX17" s="189" t="s">
        <v>267</v>
      </c>
      <c r="AY17" s="363">
        <v>0.58499999999999996</v>
      </c>
      <c r="AZ17" s="3">
        <f>AY17*M17*N17/1000</f>
        <v>0</v>
      </c>
      <c r="BA17" s="190">
        <f>IF(E7=CG7,IF(AND((BM17+BM18)&gt;0,(BM17+BM18)&lt;=1000),1,0),0)</f>
        <v>0</v>
      </c>
      <c r="BB17" s="143">
        <v>0</v>
      </c>
      <c r="BC17" s="191">
        <f>IF(E7=CG6,IF(AND((BP17+BP18)&gt;0,(BP17+BP18)&lt;=1800),1,0),0)</f>
        <v>0</v>
      </c>
      <c r="BD17" s="190">
        <f>IF(E7=CG7,IF(AND((BM17+BM18)&gt;1000,(BM17+BM18)&lt;=2000),1,0),0)</f>
        <v>0</v>
      </c>
      <c r="BE17" s="143">
        <v>0</v>
      </c>
      <c r="BF17" s="191">
        <f>IF(E7=CG6,IF(AND((BP17+BP18)&gt;1800,(BP17+BP18)&lt;=2700),1,0),0)</f>
        <v>0</v>
      </c>
      <c r="BG17" s="190">
        <f>IF(E7=CG7,IF(AND(BM19&gt;2000,BM19&lt;=3000),1,0),0)</f>
        <v>0</v>
      </c>
      <c r="BH17" s="191">
        <f>IF(E7=CG6,IF(AND(BP19&gt;2700,BP19&lt;=3600),1,0),0)</f>
        <v>0</v>
      </c>
      <c r="BI17" s="143">
        <v>0</v>
      </c>
      <c r="BJ17" s="190">
        <f>IF(E7=CG7,IF(AND(BM19&gt;3000,BM19&lt;=4000),1,0),0)</f>
        <v>0</v>
      </c>
      <c r="BK17" s="190">
        <f>IF(E7=CG7,IF(AND(BM19&gt;4000,BM19&lt;=4950),BN17+BN18+1,BN17+BN18),0)</f>
        <v>0</v>
      </c>
      <c r="BL17" s="191">
        <f>IF(E7=CG6,IF(AND(BP19&gt;3600,BP19&lt;=5350),BQ17+BQ18+1,BQ17+BQ18),0)</f>
        <v>0</v>
      </c>
      <c r="BM17" s="185">
        <f>IF($E$6&lt;&gt;0,M17*N17-INT($BD$5/M17)*M17*BN17,0)</f>
        <v>0</v>
      </c>
      <c r="BN17" s="141">
        <f>IF(AND($E$7=$CG$7,$E$6&lt;&gt;0),INT(N17/INT($BD$5/M17)),0)</f>
        <v>0</v>
      </c>
      <c r="BO17" s="141"/>
      <c r="BP17" s="141">
        <f>IF($E$6&lt;&gt;0,M17*N17-INT($BD$7/M17)*M17*BQ17,0)</f>
        <v>0</v>
      </c>
      <c r="BQ17" s="188">
        <f>IF(AND($E$7=$CG$6,$E$6&lt;&gt;0),INT(N17/INT($BD$7/M17)),0)</f>
        <v>0</v>
      </c>
      <c r="BR17" s="188"/>
      <c r="BS17" s="188"/>
      <c r="BT17" s="144"/>
      <c r="BU17" s="144"/>
      <c r="BV17" s="144"/>
      <c r="BW17" s="144">
        <f t="array" ref="BW17">INDEX(Цены!J:J,MATCH(J17&amp;$E$8,Цены!C:C&amp;Цены!G:G,0))</f>
        <v>3828.23</v>
      </c>
      <c r="BY17" s="1" t="s">
        <v>178</v>
      </c>
    </row>
    <row r="18" spans="2:84" ht="25.05" customHeight="1" thickBot="1" x14ac:dyDescent="0.35">
      <c r="B18" s="518" t="s">
        <v>164</v>
      </c>
      <c r="C18" s="519"/>
      <c r="D18" s="519"/>
      <c r="E18" s="525" t="s">
        <v>99</v>
      </c>
      <c r="F18" s="525"/>
      <c r="G18" s="525"/>
      <c r="H18" s="526"/>
      <c r="J18" s="461" t="str">
        <f>E7</f>
        <v>рамка средняя 4в1</v>
      </c>
      <c r="K18" s="336" t="str">
        <f>E7&amp;" Б"</f>
        <v>рамка средняя 4в1 Б</v>
      </c>
      <c r="L18" s="419" t="str">
        <f>IF(E7=CG6,CH6,CH7)</f>
        <v>FA0716.VP500</v>
      </c>
      <c r="M18" s="417">
        <f>IF(AND(E7=CG7,E6&gt;0),N5-78,IF(AND(E7=CG6,E6&gt;0),N5-76,0))</f>
        <v>0</v>
      </c>
      <c r="N18" s="432">
        <f>E10*E6</f>
        <v>0</v>
      </c>
      <c r="O18" s="543"/>
      <c r="P18" s="501"/>
      <c r="Q18" s="50"/>
      <c r="R18" s="50"/>
      <c r="S18" s="483"/>
      <c r="T18" s="255"/>
      <c r="U18" s="436" t="str">
        <f t="shared" si="0"/>
        <v>рамка средняя 4в1 Б</v>
      </c>
      <c r="V18" s="484"/>
      <c r="W18" s="484"/>
      <c r="X18" s="484"/>
      <c r="Y18" s="484"/>
      <c r="Z18" s="484"/>
      <c r="AA18" s="484"/>
      <c r="AB18" s="484"/>
      <c r="AC18" s="484"/>
      <c r="AD18" s="484"/>
      <c r="AE18" s="484"/>
      <c r="AF18" s="484"/>
      <c r="AG18" s="484"/>
      <c r="AH18" s="559"/>
      <c r="AI18" s="566"/>
      <c r="AJ18" s="453"/>
      <c r="AK18" s="453"/>
      <c r="AL18" s="453"/>
      <c r="AM18" s="453"/>
      <c r="AN18" s="453"/>
      <c r="AO18" s="453"/>
      <c r="AP18" s="453"/>
      <c r="AQ18" s="453"/>
      <c r="AR18" s="453"/>
      <c r="AS18" s="453"/>
      <c r="AT18" s="453"/>
      <c r="AU18" s="453"/>
      <c r="AV18" s="453"/>
      <c r="AW18" s="256">
        <f>(V17*0.2+W17*0.25+Y17*0.4+Z17*0.5+AB17*0.6+AD17*0.75+AE17*0.8+AF17)*BW17</f>
        <v>0</v>
      </c>
      <c r="AX18" s="256">
        <f>(X17*0.34+AA17*0.5+AC17*0.67+AG17)*BW17</f>
        <v>0</v>
      </c>
      <c r="AY18" s="363">
        <v>0.58499999999999996</v>
      </c>
      <c r="AZ18" s="3">
        <f>AY18*M18*N18/1000</f>
        <v>0</v>
      </c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185">
        <f>IF($E$6&lt;&gt;0,M18*N18-INT($BD$5/M18)*M18*BN18,0)</f>
        <v>0</v>
      </c>
      <c r="BN18" s="141">
        <f>IF(AND($E$7=$CG$7,$E$6&lt;&gt;0),INT(N18/INT($BD$5/M18)),0)</f>
        <v>0</v>
      </c>
      <c r="BO18" s="4"/>
      <c r="BP18" s="141">
        <f>IF($E$6&lt;&gt;0,M18*N18-INT($BD$7/M18)*M18*BQ18,0)</f>
        <v>0</v>
      </c>
      <c r="BQ18" s="188">
        <f>IF(AND($E$7=$CG$6,$E$6&lt;&gt;0),INT(N18/INT($BD$7/M18)),0)</f>
        <v>0</v>
      </c>
      <c r="BR18" s="4"/>
      <c r="BS18" s="4"/>
      <c r="BT18" s="4"/>
      <c r="BU18" s="4"/>
      <c r="BV18" s="4"/>
      <c r="BW18" s="144"/>
      <c r="BY18" s="1" t="s">
        <v>175</v>
      </c>
    </row>
    <row r="19" spans="2:84" ht="25.05" customHeight="1" thickBot="1" x14ac:dyDescent="0.4">
      <c r="B19" s="1" t="s">
        <v>463</v>
      </c>
      <c r="K19" s="12"/>
      <c r="L19" s="6"/>
      <c r="M19" s="327"/>
      <c r="N19" s="327"/>
      <c r="O19" s="6"/>
      <c r="P19" s="13"/>
      <c r="S19" s="136">
        <f>SUM(S9:S18)</f>
        <v>80873.779999999984</v>
      </c>
      <c r="U19" s="321"/>
      <c r="V19" s="553" t="s">
        <v>103</v>
      </c>
      <c r="W19" s="553"/>
      <c r="X19" s="553"/>
      <c r="Y19" s="553"/>
      <c r="Z19" s="553"/>
      <c r="AA19" s="553"/>
      <c r="AB19" s="553"/>
      <c r="AC19" s="553"/>
      <c r="AD19" s="553"/>
      <c r="AE19" s="553"/>
      <c r="AF19" s="553"/>
      <c r="AG19" s="553"/>
      <c r="AH19" s="554"/>
      <c r="AI19" s="136">
        <f>SUM(AI9:AI18)</f>
        <v>80873.779999999984</v>
      </c>
      <c r="AJ19" s="454"/>
      <c r="AK19" s="454"/>
      <c r="AL19" s="454"/>
      <c r="AM19" s="454"/>
      <c r="AN19" s="454"/>
      <c r="AO19" s="454"/>
      <c r="AP19" s="454"/>
      <c r="AQ19" s="454"/>
      <c r="AR19" s="454"/>
      <c r="AS19" s="454"/>
      <c r="AT19" s="454"/>
      <c r="AU19" s="454"/>
      <c r="AV19" s="454"/>
      <c r="AW19" s="454"/>
      <c r="AX19" s="454"/>
      <c r="AY19" s="364">
        <v>0.33600000000000002</v>
      </c>
      <c r="AZ19" s="3">
        <f>AY19*M17*N17/1000</f>
        <v>0</v>
      </c>
      <c r="BA19" s="438"/>
      <c r="BB19" s="54" t="s">
        <v>522</v>
      </c>
      <c r="BM19" s="185">
        <f>IF($E$6&lt;&gt;0,SUM(BM17:BM18)-BN19*$BD$5,0)</f>
        <v>0</v>
      </c>
      <c r="BN19" s="1">
        <f>INT(SUM(BM17:BM18)/$BD$5)</f>
        <v>0</v>
      </c>
      <c r="BP19" s="1">
        <f>IF($E$6&lt;&gt;0,SUM(BP17:BP18)-BQ19*$BD$7,0)</f>
        <v>0</v>
      </c>
      <c r="BQ19" s="1">
        <f>INT(SUM(BP17:BP18)/$BD$7)</f>
        <v>0</v>
      </c>
    </row>
    <row r="20" spans="2:84" ht="25.05" customHeight="1" thickBot="1" x14ac:dyDescent="0.4">
      <c r="B20" s="58"/>
      <c r="C20" s="59"/>
      <c r="D20" s="59"/>
      <c r="E20" s="59"/>
      <c r="F20" s="59"/>
      <c r="G20" s="59"/>
      <c r="H20" s="356" t="s">
        <v>454</v>
      </c>
      <c r="K20" s="12"/>
      <c r="L20" s="6"/>
      <c r="M20" s="327"/>
      <c r="N20" s="327"/>
      <c r="O20" s="6"/>
      <c r="P20" s="13"/>
      <c r="T20" s="256"/>
      <c r="U20" s="5"/>
      <c r="V20" s="6"/>
      <c r="W20" s="6"/>
      <c r="X20" s="6"/>
      <c r="Y20" s="6"/>
      <c r="Z20" s="6"/>
      <c r="AA20" s="6"/>
      <c r="AB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365">
        <v>0.33600000000000002</v>
      </c>
      <c r="AZ20" s="3">
        <f>AY20*M18*N18/1000</f>
        <v>0</v>
      </c>
      <c r="BA20" s="439"/>
      <c r="BB20" s="3" t="s">
        <v>523</v>
      </c>
      <c r="BM20" s="478" t="s">
        <v>526</v>
      </c>
      <c r="BN20" s="478"/>
      <c r="BP20" s="477" t="s">
        <v>450</v>
      </c>
      <c r="BQ20" s="477"/>
      <c r="BY20" s="1" t="s">
        <v>85</v>
      </c>
    </row>
    <row r="21" spans="2:84" ht="25.05" customHeight="1" thickBot="1" x14ac:dyDescent="0.35">
      <c r="B21" s="204" t="s">
        <v>107</v>
      </c>
      <c r="C21" s="62">
        <f>E6+1</f>
        <v>1</v>
      </c>
      <c r="D21" s="63" t="str">
        <f>IF(C21&gt;5,BY33,BY34)</f>
        <v xml:space="preserve"> </v>
      </c>
      <c r="E21" s="329"/>
      <c r="F21" s="329"/>
      <c r="G21" s="329"/>
      <c r="H21" s="64"/>
      <c r="K21" s="264"/>
      <c r="L21" s="265"/>
      <c r="M21" s="341"/>
      <c r="N21" s="341"/>
      <c r="O21" s="265"/>
      <c r="P21" s="266"/>
      <c r="Q21" s="245"/>
      <c r="R21" s="267"/>
      <c r="T21" s="5"/>
      <c r="AC21" s="479" t="s">
        <v>102</v>
      </c>
      <c r="AD21" s="479"/>
      <c r="AE21" s="479"/>
      <c r="AF21" s="479"/>
      <c r="AG21" s="479"/>
      <c r="AH21" s="479"/>
      <c r="AI21" s="263">
        <f>AI19+S46+H30</f>
        <v>105741.22999999998</v>
      </c>
      <c r="AY21" s="350" t="s">
        <v>451</v>
      </c>
      <c r="AZ21" s="351">
        <f>IF(E7=CG6,AZ10/2+(AZ9/P9*E9+AZ15+AZ19)/E9,AZ10/2+(AZ9/P9*E9+AZ15+AZ17)/E9)</f>
        <v>5.1695760000000002</v>
      </c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Y21" s="1" t="s">
        <v>86</v>
      </c>
      <c r="CF21" s="1" t="s">
        <v>425</v>
      </c>
    </row>
    <row r="22" spans="2:84" ht="25.05" customHeight="1" thickBot="1" x14ac:dyDescent="0.35">
      <c r="B22" s="66"/>
      <c r="C22" s="67"/>
      <c r="D22" s="67"/>
      <c r="E22" s="67"/>
      <c r="F22" s="67"/>
      <c r="G22" s="67"/>
      <c r="H22" s="68"/>
      <c r="K22" s="12"/>
      <c r="L22" s="6"/>
      <c r="M22" s="327"/>
      <c r="N22" s="327"/>
      <c r="O22" s="6"/>
      <c r="P22" s="13"/>
      <c r="Q22" s="5"/>
      <c r="R22" s="5"/>
      <c r="S22" s="6"/>
      <c r="T22" s="5"/>
      <c r="AY22" s="275" t="s">
        <v>452</v>
      </c>
      <c r="AZ22" s="138">
        <f>IF(E7=CG6,AZ10/2+(AZ9/P9*E10+AZ16+AZ20)/E10,AZ10/2+(AZ9/P9*E10+AZ16+AZ18)/E10)</f>
        <v>5.1695760000000002</v>
      </c>
      <c r="CF22" s="1" t="s">
        <v>430</v>
      </c>
    </row>
    <row r="23" spans="2:84" ht="25.05" customHeight="1" thickBot="1" x14ac:dyDescent="0.35">
      <c r="B23" s="66"/>
      <c r="C23" s="67"/>
      <c r="D23" s="67"/>
      <c r="E23" s="67"/>
      <c r="F23" s="67"/>
      <c r="G23" s="67"/>
      <c r="H23" s="68"/>
      <c r="K23" s="429" t="s">
        <v>181</v>
      </c>
      <c r="L23" s="416"/>
      <c r="M23" s="280"/>
      <c r="N23" s="327"/>
      <c r="O23" s="6"/>
      <c r="P23" s="13"/>
      <c r="Q23" s="5"/>
      <c r="R23" s="5"/>
      <c r="S23" s="6"/>
      <c r="U23" s="5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BA23" s="3"/>
      <c r="BB23" s="3"/>
      <c r="BC23" s="3"/>
      <c r="BD23" s="3"/>
      <c r="BE23" s="3"/>
      <c r="BF23" s="241" t="s">
        <v>431</v>
      </c>
      <c r="BG23" s="3"/>
      <c r="BH23" s="3"/>
      <c r="BI23" s="3"/>
      <c r="BJ23" s="3"/>
      <c r="BK23" s="3"/>
      <c r="BL23" s="3"/>
      <c r="BM23" s="3"/>
      <c r="BY23" s="1" t="s">
        <v>98</v>
      </c>
      <c r="CF23" s="1" t="s">
        <v>427</v>
      </c>
    </row>
    <row r="24" spans="2:84" ht="25.05" customHeight="1" x14ac:dyDescent="0.3">
      <c r="B24" s="69" t="s">
        <v>108</v>
      </c>
      <c r="C24" s="328" t="s">
        <v>109</v>
      </c>
      <c r="D24" s="70" t="s">
        <v>78</v>
      </c>
      <c r="E24" s="328" t="s">
        <v>110</v>
      </c>
      <c r="F24" s="328" t="s">
        <v>111</v>
      </c>
      <c r="G24" s="328" t="s">
        <v>127</v>
      </c>
      <c r="H24" s="71" t="s">
        <v>128</v>
      </c>
      <c r="K24" s="555" t="s">
        <v>0</v>
      </c>
      <c r="L24" s="556"/>
      <c r="M24" s="556"/>
      <c r="N24" s="557"/>
      <c r="O24" s="427" t="s">
        <v>1</v>
      </c>
      <c r="P24" s="239" t="s">
        <v>8</v>
      </c>
      <c r="Q24" s="140"/>
      <c r="R24" s="140"/>
      <c r="S24" s="261" t="s">
        <v>24</v>
      </c>
      <c r="U24" s="5"/>
      <c r="V24" s="268"/>
      <c r="W24" s="268"/>
      <c r="X24" s="268"/>
      <c r="Y24" s="268"/>
      <c r="Z24" s="268"/>
      <c r="AA24" s="268"/>
      <c r="AB24" s="268"/>
      <c r="AC24" s="268"/>
      <c r="AD24" s="268"/>
      <c r="AE24" s="268"/>
      <c r="AF24" s="268"/>
      <c r="AG24" s="268"/>
      <c r="AH24" s="268"/>
      <c r="AI24" s="268"/>
      <c r="AJ24" s="280"/>
      <c r="AK24" s="280"/>
      <c r="AL24" s="280"/>
      <c r="AM24" s="280"/>
      <c r="AN24" s="280"/>
      <c r="AO24" s="280"/>
      <c r="AP24" s="280"/>
      <c r="AQ24" s="280"/>
      <c r="AR24" s="280"/>
      <c r="AS24" s="280"/>
      <c r="AT24" s="280"/>
      <c r="AU24" s="280"/>
      <c r="AV24" s="280"/>
      <c r="AW24" s="280"/>
      <c r="AX24" s="280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Y24" s="1" t="s">
        <v>99</v>
      </c>
      <c r="CE24" s="301">
        <f>IF(E25&lt;&gt;0,1,0)</f>
        <v>1</v>
      </c>
      <c r="CF24" s="1" t="s">
        <v>428</v>
      </c>
    </row>
    <row r="25" spans="2:84" ht="25.05" customHeight="1" x14ac:dyDescent="0.3">
      <c r="B25" s="72" t="s">
        <v>112</v>
      </c>
      <c r="C25" s="15" t="s">
        <v>12</v>
      </c>
      <c r="D25" s="95">
        <v>0</v>
      </c>
      <c r="E25" s="16">
        <f>L4-IF(E29=0,0,IF(C29=BY27,E29,IF(C29=BY28,E29+2,E29+3)))-IF(E28=0,0,IF(C28=BY27,E28,IF(C28=BY28,E28+2,E28+3)))-IF(E27=0,0,IF(C27=BY27,E27,IF(C27=BY28,E27+2,E27+3)))-IF(E26=0,0,IF(C26=BY27,E26,IF(C26=BY28,E26+2,E26+3)))-44-IF(C25=BY28,2,IF(C25=BY29,3,0))-E6*CI6</f>
        <v>2493</v>
      </c>
      <c r="F25" s="73">
        <f>IF(C25=$BY$29,$L$5-63,IF(C25=$BY$28,$L$5-62,$L$5-60))</f>
        <v>782</v>
      </c>
      <c r="G25" s="74">
        <f>$E$9</f>
        <v>3</v>
      </c>
      <c r="H25" s="75">
        <f>E25*F25*D25*G25/1000000</f>
        <v>0</v>
      </c>
      <c r="K25" s="546" t="s">
        <v>160</v>
      </c>
      <c r="L25" s="547"/>
      <c r="M25" s="547"/>
      <c r="N25" s="558"/>
      <c r="O25" s="206" t="s">
        <v>221</v>
      </c>
      <c r="P25" s="230">
        <f>E9+E10</f>
        <v>6</v>
      </c>
      <c r="Q25" s="248"/>
      <c r="R25" s="248"/>
      <c r="S25" s="262">
        <f>P25*Цены!J149</f>
        <v>19744.02</v>
      </c>
      <c r="U25" s="140"/>
      <c r="V25" s="444"/>
      <c r="W25" s="444"/>
      <c r="X25" s="444"/>
      <c r="Y25" s="444"/>
      <c r="Z25" s="444"/>
      <c r="AA25" s="444"/>
      <c r="AB25" s="444"/>
      <c r="AC25" s="444"/>
      <c r="AD25" s="444"/>
      <c r="AE25" s="444"/>
      <c r="AF25" s="444"/>
      <c r="AG25" s="444"/>
      <c r="AH25" s="445"/>
      <c r="AI25" s="303"/>
      <c r="AJ25" s="303"/>
      <c r="AK25" s="303"/>
      <c r="AL25" s="303"/>
      <c r="AM25" s="303"/>
      <c r="AN25" s="303"/>
      <c r="AO25" s="303"/>
      <c r="AP25" s="303"/>
      <c r="AQ25" s="303"/>
      <c r="AR25" s="303"/>
      <c r="AS25" s="303"/>
      <c r="AT25" s="303"/>
      <c r="AU25" s="303"/>
      <c r="AV25" s="303"/>
      <c r="AW25" s="303"/>
      <c r="AX25" s="303"/>
      <c r="BA25" s="96">
        <v>1000</v>
      </c>
      <c r="BB25" s="96">
        <v>1250</v>
      </c>
      <c r="BC25" s="96">
        <v>1800</v>
      </c>
      <c r="BD25" s="96">
        <v>2000</v>
      </c>
      <c r="BE25" s="96">
        <v>2500</v>
      </c>
      <c r="BF25" s="96">
        <v>2700</v>
      </c>
      <c r="BG25" s="96">
        <v>3000</v>
      </c>
      <c r="BH25" s="96">
        <v>3600</v>
      </c>
      <c r="BI25" s="96">
        <v>3750</v>
      </c>
      <c r="BJ25" s="96">
        <v>4000</v>
      </c>
      <c r="BK25" s="96">
        <v>5000</v>
      </c>
      <c r="BL25" s="142">
        <v>5400</v>
      </c>
      <c r="BM25" s="187"/>
      <c r="BN25" s="186"/>
      <c r="BO25" s="186"/>
      <c r="BP25" s="186"/>
      <c r="BQ25" s="186"/>
      <c r="BR25" s="186"/>
      <c r="BS25" s="186"/>
      <c r="CE25" s="301">
        <f>IF(E26&lt;&gt;0,1,0)</f>
        <v>0</v>
      </c>
      <c r="CF25" s="1" t="s">
        <v>429</v>
      </c>
    </row>
    <row r="26" spans="2:84" ht="25.05" customHeight="1" x14ac:dyDescent="0.3">
      <c r="B26" s="72" t="s">
        <v>113</v>
      </c>
      <c r="C26" s="15" t="s">
        <v>12</v>
      </c>
      <c r="D26" s="95">
        <v>0</v>
      </c>
      <c r="E26" s="17">
        <v>0</v>
      </c>
      <c r="F26" s="73">
        <f>IF(C26=$BY$29,$L$5-63,IF(C26=$BY$28,$L$5-62,$L$5-60))</f>
        <v>782</v>
      </c>
      <c r="G26" s="74">
        <f>IF(E26&lt;&gt;0,$E$9,0)</f>
        <v>0</v>
      </c>
      <c r="H26" s="75">
        <f t="shared" ref="H26:H29" si="19">E26*F26*D26*G26/1000000</f>
        <v>0</v>
      </c>
      <c r="K26" s="488" t="s">
        <v>67</v>
      </c>
      <c r="L26" s="489"/>
      <c r="M26" s="489"/>
      <c r="N26" s="489"/>
      <c r="O26" s="206" t="s">
        <v>222</v>
      </c>
      <c r="P26" s="230">
        <f>IF(OR(E9=1,E10=1),5,6)</f>
        <v>6</v>
      </c>
      <c r="Q26" s="248"/>
      <c r="R26" s="248"/>
      <c r="S26" s="262">
        <f>P26*Цены!J151</f>
        <v>1135.6200000000001</v>
      </c>
      <c r="U26" s="309"/>
      <c r="V26" s="247"/>
      <c r="W26" s="247"/>
      <c r="X26" s="247"/>
      <c r="Y26" s="247"/>
      <c r="Z26" s="247"/>
      <c r="AA26" s="247"/>
      <c r="AB26" s="247"/>
      <c r="AC26" s="247"/>
      <c r="AD26" s="247"/>
      <c r="AE26" s="247"/>
      <c r="AF26" s="247"/>
      <c r="AG26" s="247"/>
      <c r="AH26" s="255"/>
      <c r="AI26" s="255"/>
      <c r="AJ26" s="255"/>
      <c r="AK26" s="255"/>
      <c r="AL26" s="255"/>
      <c r="AM26" s="255"/>
      <c r="AN26" s="255"/>
      <c r="AO26" s="255"/>
      <c r="AP26" s="255"/>
      <c r="AQ26" s="255"/>
      <c r="AR26" s="255"/>
      <c r="AS26" s="255"/>
      <c r="AT26" s="255"/>
      <c r="AU26" s="255"/>
      <c r="AV26" s="255"/>
      <c r="AW26" s="255"/>
      <c r="AX26" s="255"/>
      <c r="AZ26" s="3"/>
      <c r="BA26" s="141">
        <v>0</v>
      </c>
      <c r="BB26" s="141">
        <v>0</v>
      </c>
      <c r="BC26" s="141">
        <v>0</v>
      </c>
      <c r="BD26" s="141">
        <v>0</v>
      </c>
      <c r="BE26" s="141">
        <v>0</v>
      </c>
      <c r="BF26" s="141">
        <v>0</v>
      </c>
      <c r="BG26" s="141">
        <v>0</v>
      </c>
      <c r="BH26" s="141">
        <v>0</v>
      </c>
      <c r="BI26" s="141">
        <v>0</v>
      </c>
      <c r="BJ26" s="141">
        <v>0</v>
      </c>
      <c r="BK26" s="141">
        <v>0</v>
      </c>
      <c r="BL26" s="315">
        <f>BL9</f>
        <v>6</v>
      </c>
      <c r="BM26" s="141"/>
      <c r="BN26" s="188"/>
      <c r="BO26" s="188"/>
      <c r="BP26" s="188"/>
      <c r="BQ26" s="188"/>
      <c r="BR26" s="188"/>
      <c r="BS26" s="188"/>
      <c r="CE26" s="301">
        <f>IF(E27&lt;&gt;0,1,0)</f>
        <v>0</v>
      </c>
      <c r="CF26" s="1" t="s">
        <v>426</v>
      </c>
    </row>
    <row r="27" spans="2:84" ht="25.05" customHeight="1" x14ac:dyDescent="0.3">
      <c r="B27" s="72" t="s">
        <v>114</v>
      </c>
      <c r="C27" s="15" t="s">
        <v>12</v>
      </c>
      <c r="D27" s="95">
        <v>0</v>
      </c>
      <c r="E27" s="17">
        <v>0</v>
      </c>
      <c r="F27" s="73">
        <f>IF(C27=$BY$29,$L$5-63,IF(C27=$BY$28,$L$5-62,$L$5-60))</f>
        <v>782</v>
      </c>
      <c r="G27" s="74">
        <f>IF(E27&lt;&gt;0,$E$9,0)</f>
        <v>0</v>
      </c>
      <c r="H27" s="75">
        <f t="shared" si="19"/>
        <v>0</v>
      </c>
      <c r="K27" s="508" t="s">
        <v>73</v>
      </c>
      <c r="L27" s="509"/>
      <c r="M27" s="509"/>
      <c r="N27" s="509"/>
      <c r="O27" s="207" t="s">
        <v>223</v>
      </c>
      <c r="P27" s="230">
        <f>IF(AND(P33&gt;0,OR(E11=BY23,E12=BY23)),0,IF(E12=BY23,1,2))</f>
        <v>2</v>
      </c>
      <c r="Q27" s="248"/>
      <c r="R27" s="248"/>
      <c r="S27" s="262">
        <f>P27*Цены!J157</f>
        <v>1184.58</v>
      </c>
      <c r="U27" s="309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247"/>
      <c r="AH27" s="5"/>
      <c r="AI27" s="255"/>
      <c r="AJ27" s="255"/>
      <c r="AK27" s="255"/>
      <c r="AL27" s="255"/>
      <c r="AM27" s="255"/>
      <c r="AN27" s="255"/>
      <c r="AO27" s="255"/>
      <c r="AP27" s="255"/>
      <c r="AQ27" s="255"/>
      <c r="AR27" s="255"/>
      <c r="AS27" s="255"/>
      <c r="AT27" s="255"/>
      <c r="AU27" s="255"/>
      <c r="AV27" s="255"/>
      <c r="AW27" s="255"/>
      <c r="AX27" s="255"/>
      <c r="BA27" s="141">
        <v>0</v>
      </c>
      <c r="BB27" s="141">
        <v>0</v>
      </c>
      <c r="BC27" s="141">
        <v>0</v>
      </c>
      <c r="BD27" s="141">
        <v>0</v>
      </c>
      <c r="BE27" s="141">
        <v>0</v>
      </c>
      <c r="BF27" s="141">
        <v>0</v>
      </c>
      <c r="BG27" s="141">
        <v>0</v>
      </c>
      <c r="BH27" s="141">
        <v>0</v>
      </c>
      <c r="BI27" s="141">
        <v>0</v>
      </c>
      <c r="BJ27" s="141">
        <v>0</v>
      </c>
      <c r="BK27" s="141">
        <v>0</v>
      </c>
      <c r="BL27" s="315">
        <f>BL10</f>
        <v>1</v>
      </c>
      <c r="BY27" s="65" t="s">
        <v>10</v>
      </c>
      <c r="CE27" s="301">
        <f>IF(E28&lt;&gt;0,1,0)</f>
        <v>0</v>
      </c>
      <c r="CF27" s="1" t="s">
        <v>527</v>
      </c>
    </row>
    <row r="28" spans="2:84" ht="25.05" customHeight="1" x14ac:dyDescent="0.3">
      <c r="B28" s="72" t="s">
        <v>115</v>
      </c>
      <c r="C28" s="15" t="s">
        <v>12</v>
      </c>
      <c r="D28" s="95">
        <v>0</v>
      </c>
      <c r="E28" s="17">
        <v>0</v>
      </c>
      <c r="F28" s="73">
        <f>IF(C28=$BY$29,$L$5-63,IF(C28=$BY$28,$L$5-62,$L$5-60))</f>
        <v>782</v>
      </c>
      <c r="G28" s="74">
        <f>IF(E28&lt;&gt;0,$E$9,0)</f>
        <v>0</v>
      </c>
      <c r="H28" s="75">
        <f t="shared" si="19"/>
        <v>0</v>
      </c>
      <c r="K28" s="486" t="s">
        <v>74</v>
      </c>
      <c r="L28" s="487"/>
      <c r="M28" s="487"/>
      <c r="N28" s="487"/>
      <c r="O28" s="140" t="s">
        <v>233</v>
      </c>
      <c r="P28" s="422">
        <f>P33+2</f>
        <v>2</v>
      </c>
      <c r="Q28" s="249"/>
      <c r="R28" s="249"/>
      <c r="S28" s="262">
        <f>P28*Цены!J158</f>
        <v>267.44</v>
      </c>
      <c r="T28" s="243"/>
      <c r="U28" s="309"/>
      <c r="V28" s="101"/>
      <c r="W28" s="101"/>
      <c r="X28" s="101"/>
      <c r="Y28" s="101"/>
      <c r="Z28" s="101"/>
      <c r="AA28" s="101"/>
      <c r="AB28" s="101"/>
      <c r="AC28" s="101"/>
      <c r="AD28" s="101"/>
      <c r="AE28" s="101"/>
      <c r="AF28" s="101"/>
      <c r="AG28" s="101"/>
      <c r="AH28" s="19"/>
      <c r="AI28" s="100"/>
      <c r="AJ28" s="442"/>
      <c r="AK28" s="442"/>
      <c r="AL28" s="442"/>
      <c r="AM28" s="442"/>
      <c r="AN28" s="442"/>
      <c r="AO28" s="442"/>
      <c r="AP28" s="442"/>
      <c r="AQ28" s="442"/>
      <c r="AR28" s="442"/>
      <c r="AS28" s="442"/>
      <c r="AT28" s="442"/>
      <c r="AU28" s="442"/>
      <c r="AV28" s="442"/>
      <c r="AW28" s="442"/>
      <c r="AX28" s="442"/>
      <c r="BA28" s="143">
        <v>0</v>
      </c>
      <c r="BB28" s="143">
        <v>0</v>
      </c>
      <c r="BC28" s="143">
        <v>0</v>
      </c>
      <c r="BD28" s="143">
        <v>0</v>
      </c>
      <c r="BE28" s="141">
        <f>IF(AND((E21+E22)&gt;BD5,BP28=1),1,0)</f>
        <v>0</v>
      </c>
      <c r="BF28" s="143">
        <v>0</v>
      </c>
      <c r="BG28" s="143">
        <v>0</v>
      </c>
      <c r="BH28" s="143">
        <v>0</v>
      </c>
      <c r="BI28" s="143">
        <v>0</v>
      </c>
      <c r="BJ28" s="143">
        <v>0</v>
      </c>
      <c r="BK28" s="141">
        <f>IF(E4+E5&lt;=4950,BR28,IF(AND(BM28&gt;2500,BM28&lt;=4950),BN28+1,BN28)+IF(AND(BM29&gt;2500,BM29&lt;=4950),BN29+1,BN29)+IF(BP28=2,1,0))</f>
        <v>6</v>
      </c>
      <c r="BL28" s="143">
        <v>0</v>
      </c>
      <c r="BM28" s="185">
        <f t="shared" ref="BM28:BN33" si="20">BM11</f>
        <v>0</v>
      </c>
      <c r="BN28" s="185">
        <f t="shared" si="20"/>
        <v>3</v>
      </c>
      <c r="BO28" s="185"/>
      <c r="BP28" s="185">
        <f>BP11</f>
        <v>0</v>
      </c>
      <c r="BQ28" s="185"/>
      <c r="BR28" s="185">
        <f>BR11</f>
        <v>4</v>
      </c>
      <c r="BS28" s="141"/>
      <c r="BY28" s="65" t="s">
        <v>11</v>
      </c>
      <c r="CE28" s="301">
        <f>IF(E29&lt;&gt;0,1,0)</f>
        <v>0</v>
      </c>
      <c r="CF28" s="1" t="s">
        <v>525</v>
      </c>
    </row>
    <row r="29" spans="2:84" ht="25.05" customHeight="1" thickBot="1" x14ac:dyDescent="0.35">
      <c r="B29" s="80" t="s">
        <v>116</v>
      </c>
      <c r="C29" s="15" t="s">
        <v>12</v>
      </c>
      <c r="D29" s="95">
        <v>0</v>
      </c>
      <c r="E29" s="17">
        <v>0</v>
      </c>
      <c r="F29" s="73">
        <f>IF(C29=$BY$29,$L$5-63,IF(C29=$BY$28,$L$5-62,$L$5-60))</f>
        <v>782</v>
      </c>
      <c r="G29" s="74">
        <f>IF(E29&lt;&gt;0,$E$9,0)</f>
        <v>0</v>
      </c>
      <c r="H29" s="75">
        <f t="shared" si="19"/>
        <v>0</v>
      </c>
      <c r="K29" s="488" t="s">
        <v>22</v>
      </c>
      <c r="L29" s="489"/>
      <c r="M29" s="489"/>
      <c r="N29" s="489"/>
      <c r="O29" s="206" t="s">
        <v>225</v>
      </c>
      <c r="P29" s="231">
        <f>IF(AND(E9&gt;1,E10&gt;1,E12=BY23),2,0)</f>
        <v>0</v>
      </c>
      <c r="Q29" s="250"/>
      <c r="R29" s="250"/>
      <c r="S29" s="262">
        <f>P29*Цены!J128</f>
        <v>0</v>
      </c>
      <c r="T29" s="243"/>
      <c r="U29" s="309"/>
      <c r="V29" s="101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9"/>
      <c r="AI29" s="100"/>
      <c r="AJ29" s="442"/>
      <c r="AK29" s="442"/>
      <c r="AL29" s="442"/>
      <c r="AM29" s="442"/>
      <c r="AN29" s="442"/>
      <c r="AO29" s="442"/>
      <c r="AP29" s="442"/>
      <c r="AQ29" s="442"/>
      <c r="AR29" s="442"/>
      <c r="AS29" s="442"/>
      <c r="AT29" s="442"/>
      <c r="AU29" s="442"/>
      <c r="AV29" s="442"/>
      <c r="AW29" s="442"/>
      <c r="AX29" s="442"/>
      <c r="BM29" s="185">
        <f t="shared" si="20"/>
        <v>0</v>
      </c>
      <c r="BN29" s="185">
        <f t="shared" si="20"/>
        <v>3</v>
      </c>
      <c r="BO29" s="185"/>
      <c r="BP29" s="185"/>
      <c r="BQ29" s="185"/>
      <c r="BR29" s="185"/>
      <c r="BY29" s="65" t="s">
        <v>12</v>
      </c>
    </row>
    <row r="30" spans="2:84" ht="25.05" customHeight="1" thickBot="1" x14ac:dyDescent="0.35">
      <c r="B30" s="66"/>
      <c r="C30" s="67"/>
      <c r="D30" s="67"/>
      <c r="E30" s="502" t="s">
        <v>79</v>
      </c>
      <c r="F30" s="503"/>
      <c r="G30" s="504"/>
      <c r="H30" s="81">
        <f>SUM(H25:H29)</f>
        <v>0</v>
      </c>
      <c r="K30" s="496" t="s">
        <v>252</v>
      </c>
      <c r="L30" s="497"/>
      <c r="M30" s="497"/>
      <c r="N30" s="497"/>
      <c r="O30" s="206" t="s">
        <v>250</v>
      </c>
      <c r="P30" s="231">
        <f>IF(AND(E9&gt;2,E11=BY23),E9-2,0)+IF(AND(E10&gt;2,E11=BY23),E10-2,0)</f>
        <v>0</v>
      </c>
      <c r="Q30" s="250"/>
      <c r="R30" s="250"/>
      <c r="S30" s="262">
        <f>P30*Цены!J129</f>
        <v>0</v>
      </c>
      <c r="T30" s="243"/>
      <c r="U30" s="309"/>
      <c r="V30" s="101"/>
      <c r="W30" s="101"/>
      <c r="X30" s="101"/>
      <c r="Y30" s="101"/>
      <c r="Z30" s="101"/>
      <c r="AA30" s="101"/>
      <c r="AB30" s="101"/>
      <c r="AC30" s="101"/>
      <c r="AD30" s="101"/>
      <c r="AE30" s="101"/>
      <c r="AF30" s="101"/>
      <c r="AG30" s="101"/>
      <c r="AH30" s="19"/>
      <c r="AI30" s="100"/>
      <c r="AJ30" s="442"/>
      <c r="AK30" s="442"/>
      <c r="AL30" s="442"/>
      <c r="AM30" s="442"/>
      <c r="AN30" s="442"/>
      <c r="AO30" s="442"/>
      <c r="AP30" s="442"/>
      <c r="AQ30" s="442"/>
      <c r="AR30" s="442"/>
      <c r="AS30" s="442"/>
      <c r="AT30" s="442"/>
      <c r="AU30" s="442"/>
      <c r="AV30" s="442"/>
      <c r="AW30" s="442"/>
      <c r="AX30" s="442"/>
      <c r="AY30" s="53"/>
      <c r="AZ30" s="53"/>
      <c r="BA30" s="143">
        <v>0</v>
      </c>
      <c r="BB30" s="143">
        <v>0</v>
      </c>
      <c r="BC30" s="143">
        <v>0</v>
      </c>
      <c r="BD30" s="143">
        <v>0</v>
      </c>
      <c r="BE30" s="141">
        <f t="shared" ref="BE30" si="21">IF(BP30=1,1,0)</f>
        <v>0</v>
      </c>
      <c r="BF30" s="143">
        <v>0</v>
      </c>
      <c r="BG30" s="143">
        <v>0</v>
      </c>
      <c r="BH30" s="143">
        <v>0</v>
      </c>
      <c r="BI30" s="143">
        <v>0</v>
      </c>
      <c r="BJ30" s="143">
        <v>0</v>
      </c>
      <c r="BK30" s="141">
        <f>IF(E4+E5&lt;=5025,BR30,IF(AND(BM30&gt;2500,BM30&lt;=5025),BN30+1,BN30)+IF(AND(BM31&gt;2500,BM31&lt;=5025),BN31+1,BN31)+IF(BP30=2,1,0))</f>
        <v>2</v>
      </c>
      <c r="BL30" s="143">
        <v>0</v>
      </c>
      <c r="BM30" s="185">
        <f t="shared" si="20"/>
        <v>0</v>
      </c>
      <c r="BN30" s="185">
        <f t="shared" si="20"/>
        <v>1</v>
      </c>
      <c r="BO30" s="185"/>
      <c r="BP30" s="185">
        <f>BP13</f>
        <v>0</v>
      </c>
      <c r="BQ30" s="185"/>
      <c r="BR30" s="185">
        <f>BR13</f>
        <v>2</v>
      </c>
      <c r="BS30" s="188"/>
    </row>
    <row r="31" spans="2:84" ht="25.05" customHeight="1" thickBot="1" x14ac:dyDescent="0.35">
      <c r="B31" s="66"/>
      <c r="C31" s="82" t="str">
        <f>IF((SUM(CE24:CE28)/C21)&lt;&gt;1,BY43,BY44)</f>
        <v>Верно внесены высоты вставок</v>
      </c>
      <c r="D31" s="329">
        <f>IF(C31=BY44,1,0)</f>
        <v>1</v>
      </c>
      <c r="E31" s="329"/>
      <c r="F31" s="329"/>
      <c r="G31" s="329"/>
      <c r="H31" s="68"/>
      <c r="K31" s="490" t="s">
        <v>253</v>
      </c>
      <c r="L31" s="491"/>
      <c r="M31" s="491"/>
      <c r="N31" s="491"/>
      <c r="O31" s="206" t="s">
        <v>254</v>
      </c>
      <c r="P31" s="232">
        <f>IF(P30&gt;0,IF(E9&gt;2,1,0)+IF(E10&gt;2,1,0),0)</f>
        <v>0</v>
      </c>
      <c r="Q31" s="251"/>
      <c r="R31" s="251"/>
      <c r="S31" s="262">
        <f>P31*Цены!J130</f>
        <v>0</v>
      </c>
      <c r="T31" s="243"/>
      <c r="U31" s="309"/>
      <c r="V31" s="101"/>
      <c r="W31" s="101"/>
      <c r="X31" s="101"/>
      <c r="Y31" s="101"/>
      <c r="Z31" s="101"/>
      <c r="AA31" s="101"/>
      <c r="AB31" s="101"/>
      <c r="AC31" s="101"/>
      <c r="AD31" s="101"/>
      <c r="AE31" s="101"/>
      <c r="AF31" s="101"/>
      <c r="AG31" s="101"/>
      <c r="AH31" s="19"/>
      <c r="AI31" s="100"/>
      <c r="AJ31" s="442"/>
      <c r="AK31" s="442"/>
      <c r="AL31" s="442"/>
      <c r="AM31" s="442"/>
      <c r="AN31" s="442"/>
      <c r="AO31" s="442"/>
      <c r="AP31" s="442"/>
      <c r="AQ31" s="442"/>
      <c r="AR31" s="442"/>
      <c r="AS31" s="442"/>
      <c r="AT31" s="442"/>
      <c r="AU31" s="442"/>
      <c r="AV31" s="442"/>
      <c r="AW31" s="442"/>
      <c r="AX31" s="442"/>
      <c r="AY31" s="53"/>
      <c r="AZ31" s="53"/>
      <c r="BA31" s="141"/>
      <c r="BB31" s="141"/>
      <c r="BC31" s="141"/>
      <c r="BD31" s="141"/>
      <c r="BE31" s="141"/>
      <c r="BF31" s="141"/>
      <c r="BG31" s="141"/>
      <c r="BH31" s="141"/>
      <c r="BI31" s="141"/>
      <c r="BJ31" s="141"/>
      <c r="BK31" s="141"/>
      <c r="BL31" s="141"/>
      <c r="BM31" s="185">
        <f t="shared" si="20"/>
        <v>0</v>
      </c>
      <c r="BN31" s="185">
        <f t="shared" si="20"/>
        <v>1</v>
      </c>
      <c r="BO31" s="185"/>
      <c r="BP31" s="185"/>
      <c r="BQ31" s="185"/>
      <c r="BR31" s="185"/>
      <c r="BS31" s="188"/>
    </row>
    <row r="32" spans="2:84" ht="25.05" customHeight="1" thickBot="1" x14ac:dyDescent="0.35">
      <c r="B32" s="66"/>
      <c r="C32" s="67"/>
      <c r="D32" s="67"/>
      <c r="E32" s="67"/>
      <c r="F32" s="67"/>
      <c r="G32" s="325" t="s">
        <v>268</v>
      </c>
      <c r="H32" s="148">
        <f>ROUNDUP((AZ21+AZ46)*1.1,0)</f>
        <v>30</v>
      </c>
      <c r="K32" s="496" t="s">
        <v>257</v>
      </c>
      <c r="L32" s="497"/>
      <c r="M32" s="497"/>
      <c r="N32" s="497"/>
      <c r="O32" s="206" t="s">
        <v>258</v>
      </c>
      <c r="P32" s="231">
        <f>IF(E9&gt;E10,E9-2,E10-2)</f>
        <v>1</v>
      </c>
      <c r="Q32" s="250"/>
      <c r="R32" s="250"/>
      <c r="S32" s="262">
        <f>P32*Цены!J117</f>
        <v>210.59</v>
      </c>
      <c r="T32" s="243"/>
      <c r="U32" s="309"/>
      <c r="V32" s="101"/>
      <c r="W32" s="101"/>
      <c r="X32" s="101"/>
      <c r="Y32" s="101"/>
      <c r="Z32" s="101"/>
      <c r="AA32" s="101"/>
      <c r="AB32" s="101"/>
      <c r="AC32" s="101"/>
      <c r="AD32" s="101"/>
      <c r="AE32" s="101"/>
      <c r="AF32" s="101"/>
      <c r="AG32" s="101"/>
      <c r="AH32" s="19"/>
      <c r="AI32" s="100"/>
      <c r="AJ32" s="442"/>
      <c r="AK32" s="442"/>
      <c r="AL32" s="442"/>
      <c r="AM32" s="442"/>
      <c r="AN32" s="442"/>
      <c r="AO32" s="442"/>
      <c r="AP32" s="442"/>
      <c r="AQ32" s="442"/>
      <c r="AR32" s="442"/>
      <c r="AS32" s="442"/>
      <c r="AT32" s="442"/>
      <c r="AU32" s="442"/>
      <c r="AV32" s="442"/>
      <c r="AW32" s="442"/>
      <c r="AX32" s="442"/>
      <c r="AY32" s="3"/>
      <c r="AZ32" s="3"/>
      <c r="BA32" s="143">
        <v>0</v>
      </c>
      <c r="BB32" s="141">
        <f>IF(AND((BM32+BM33)&gt;0,(BM32+BM33)&lt;=1250),1,0)</f>
        <v>0</v>
      </c>
      <c r="BC32" s="143">
        <v>0</v>
      </c>
      <c r="BD32" s="143">
        <v>0</v>
      </c>
      <c r="BE32" s="141">
        <f>IF(AND((BM32+BM33)&gt;1250,(BM32+BM33)&lt;=2500),1,0)</f>
        <v>0</v>
      </c>
      <c r="BF32" s="143">
        <v>0</v>
      </c>
      <c r="BG32" s="143">
        <v>0</v>
      </c>
      <c r="BH32" s="143">
        <v>0</v>
      </c>
      <c r="BI32" s="141">
        <f>IF(AND(BM32&gt;2500,BM32&lt;=3750),1,0)+IF(AND(BM33&gt;2500,BM33&lt;=3750),1,0)+IF(AND((BM32+BM33)&gt;2500,(BM32+BM33)&lt;=3750),1,0)</f>
        <v>0</v>
      </c>
      <c r="BJ32" s="143">
        <v>0</v>
      </c>
      <c r="BK32" s="141">
        <f>IF(BP32=1,0,IF(AND(BM32&gt;3750,BM32&lt;=4950),1,0)+IF(AND(BM33&gt;3750,BM33&lt;=4950),1,0))+BP32+BN32+BN33</f>
        <v>2</v>
      </c>
      <c r="BL32" s="143">
        <v>0</v>
      </c>
      <c r="BM32" s="185">
        <f t="shared" si="20"/>
        <v>0</v>
      </c>
      <c r="BN32" s="185">
        <f t="shared" si="20"/>
        <v>1</v>
      </c>
      <c r="BO32" s="185"/>
      <c r="BP32" s="185">
        <f>IF(AND((BM32+BM33)&gt;3750,(BM32+BM33)&lt;=5000),1,0)</f>
        <v>0</v>
      </c>
      <c r="BQ32" s="185"/>
      <c r="BR32" s="185"/>
      <c r="BS32" s="188"/>
    </row>
    <row r="33" spans="1:83" ht="25.05" customHeight="1" thickBot="1" x14ac:dyDescent="0.35">
      <c r="B33" s="353"/>
      <c r="C33" s="354" t="str">
        <f>IF(AND(SUM(CE24:CE28)/C21=1,E29=0,C21&lt;&gt;1),BY47,BY48)</f>
        <v xml:space="preserve"> </v>
      </c>
      <c r="D33" s="355"/>
      <c r="E33" s="354"/>
      <c r="F33" s="354"/>
      <c r="G33" s="151"/>
      <c r="H33" s="137"/>
      <c r="K33" s="486" t="s">
        <v>42</v>
      </c>
      <c r="L33" s="487"/>
      <c r="M33" s="487"/>
      <c r="N33" s="487"/>
      <c r="O33" s="207" t="s">
        <v>227</v>
      </c>
      <c r="P33" s="231">
        <f>IF(E15=BY23,IF(L5&gt;=900,2,IF(AND(L5&gt;650,L5&lt;900),1,0))*(E9-1)+IF(N5&gt;=900,2,IF(AND(N5&gt;650,N5&lt;900),1,0))*(E10-1),0)</f>
        <v>0</v>
      </c>
      <c r="Q33" s="250"/>
      <c r="R33" s="250"/>
      <c r="S33" s="262">
        <f>P33*Цены!J103</f>
        <v>0</v>
      </c>
      <c r="T33" s="243"/>
      <c r="U33" s="309"/>
      <c r="V33" s="101"/>
      <c r="W33" s="101"/>
      <c r="X33" s="101"/>
      <c r="Y33" s="101"/>
      <c r="Z33" s="101"/>
      <c r="AA33" s="101"/>
      <c r="AB33" s="101"/>
      <c r="AC33" s="101"/>
      <c r="AD33" s="101"/>
      <c r="AE33" s="101"/>
      <c r="AF33" s="101"/>
      <c r="AG33" s="101"/>
      <c r="AH33" s="19"/>
      <c r="AI33" s="100"/>
      <c r="AJ33" s="442"/>
      <c r="AK33" s="442"/>
      <c r="AL33" s="442"/>
      <c r="AM33" s="442"/>
      <c r="AN33" s="442"/>
      <c r="AO33" s="442"/>
      <c r="AP33" s="442"/>
      <c r="AQ33" s="442"/>
      <c r="AR33" s="442"/>
      <c r="AS33" s="442"/>
      <c r="AT33" s="442"/>
      <c r="AU33" s="442"/>
      <c r="AV33" s="442"/>
      <c r="AW33" s="442"/>
      <c r="AX33" s="442"/>
      <c r="AY33" s="144"/>
      <c r="BM33" s="185">
        <f t="shared" si="20"/>
        <v>0</v>
      </c>
      <c r="BN33" s="185">
        <f t="shared" si="20"/>
        <v>1</v>
      </c>
      <c r="BO33" s="185"/>
      <c r="BP33" s="185"/>
      <c r="BQ33" s="185"/>
      <c r="BR33" s="185"/>
      <c r="BS33" s="185"/>
      <c r="BT33" s="188"/>
      <c r="BU33" s="189"/>
      <c r="BV33" s="152"/>
      <c r="BW33" s="152"/>
      <c r="BY33" s="79" t="s">
        <v>117</v>
      </c>
    </row>
    <row r="34" spans="1:83" ht="25.05" customHeight="1" thickBot="1" x14ac:dyDescent="0.35">
      <c r="B34" s="67"/>
      <c r="C34" s="67"/>
      <c r="D34" s="67"/>
      <c r="E34" s="67"/>
      <c r="F34" s="67"/>
      <c r="G34" s="67"/>
      <c r="H34" s="67"/>
      <c r="K34" s="496" t="s">
        <v>125</v>
      </c>
      <c r="L34" s="497"/>
      <c r="M34" s="497"/>
      <c r="N34" s="497"/>
      <c r="O34" s="206" t="s">
        <v>226</v>
      </c>
      <c r="P34" s="231">
        <f>IF(AND(E14=BY23,OR(E9=1,E10=1)),1,IF(AND(E14=BY23,AND(E9&gt;1,E10&gt;1)),2,0))</f>
        <v>0</v>
      </c>
      <c r="Q34" s="250"/>
      <c r="R34" s="250"/>
      <c r="S34" s="262">
        <f>P34*Цены!J152</f>
        <v>0</v>
      </c>
      <c r="T34" s="243"/>
      <c r="U34" s="309"/>
      <c r="V34" s="101"/>
      <c r="W34" s="101"/>
      <c r="X34" s="101"/>
      <c r="Y34" s="101"/>
      <c r="Z34" s="101"/>
      <c r="AA34" s="101"/>
      <c r="AB34" s="101"/>
      <c r="AC34" s="101"/>
      <c r="AD34" s="101"/>
      <c r="AE34" s="101"/>
      <c r="AF34" s="101"/>
      <c r="AG34" s="101"/>
      <c r="AH34" s="19"/>
      <c r="AI34" s="100"/>
      <c r="AJ34" s="442"/>
      <c r="AK34" s="442"/>
      <c r="AL34" s="442"/>
      <c r="AM34" s="442"/>
      <c r="AN34" s="442"/>
      <c r="AO34" s="442"/>
      <c r="AP34" s="442"/>
      <c r="AQ34" s="442"/>
      <c r="AR34" s="442"/>
      <c r="AS34" s="442"/>
      <c r="AT34" s="442"/>
      <c r="AU34" s="442"/>
      <c r="AV34" s="442"/>
      <c r="AW34" s="442"/>
      <c r="AX34" s="442"/>
      <c r="AY34" s="3"/>
      <c r="BA34" s="143">
        <v>0</v>
      </c>
      <c r="BB34" s="190">
        <f>IF(E7=CG7,IF(AND((BM17+BM18)&gt;0,(BM17+BM18)&lt;=1250),1,0),0)</f>
        <v>0</v>
      </c>
      <c r="BC34" s="191">
        <f>IF(E7=CG6,IF(AND((BP34+BP35)&gt;0,(BP34+BP35)&lt;=1800),1,0),0)</f>
        <v>0</v>
      </c>
      <c r="BD34" s="143">
        <v>0</v>
      </c>
      <c r="BE34" s="190">
        <f>IF(E7=CG7,IF(AND((BM17+BM18)&gt;1250,(BM17+BM18)&lt;=2500),1,0),0)</f>
        <v>0</v>
      </c>
      <c r="BF34" s="191">
        <f>IF(E7=CG6,IF(AND((BP34+BP35)&gt;1800,(BP34+BP35)&lt;=2700),1,0),0)</f>
        <v>0</v>
      </c>
      <c r="BG34" s="143">
        <v>0</v>
      </c>
      <c r="BH34" s="191">
        <f>IF(E7=CG6,IF(AND(BP36&gt;2700,BP36&lt;=3600),1,0),0)</f>
        <v>0</v>
      </c>
      <c r="BI34" s="190">
        <f>IF(E7=CG7,IF(AND(BM36&gt;2500,BM36&lt;=3750),1,0),0)</f>
        <v>0</v>
      </c>
      <c r="BJ34" s="143">
        <v>0</v>
      </c>
      <c r="BK34" s="190">
        <f>IF(E7=CG7,IF(AND(BM19&gt;4000,BM19&lt;=4950),BN17+BN18+1,BN17+BN18),0)</f>
        <v>0</v>
      </c>
      <c r="BL34" s="191">
        <f>IF(E7=CG6,IF(AND(BP19&gt;3600,BP19&lt;=5350),BQ17+BQ18+1,BQ17+BQ18),0)</f>
        <v>0</v>
      </c>
      <c r="BM34" s="185">
        <f>BM17</f>
        <v>0</v>
      </c>
      <c r="BN34" s="185">
        <f>BN17</f>
        <v>0</v>
      </c>
      <c r="BO34" s="185"/>
      <c r="BP34" s="185">
        <f>BP17</f>
        <v>0</v>
      </c>
      <c r="BQ34" s="185">
        <f>BQ17</f>
        <v>0</v>
      </c>
      <c r="BR34" s="185"/>
      <c r="BS34" s="185"/>
      <c r="BT34" s="6"/>
      <c r="BU34" s="6"/>
      <c r="BV34" s="6"/>
      <c r="BW34" s="6"/>
      <c r="BY34" s="79" t="s">
        <v>94</v>
      </c>
    </row>
    <row r="35" spans="1:83" ht="25.05" customHeight="1" thickBot="1" x14ac:dyDescent="0.35">
      <c r="B35" s="58"/>
      <c r="C35" s="59"/>
      <c r="D35" s="59"/>
      <c r="E35" s="59"/>
      <c r="F35" s="59"/>
      <c r="G35" s="59"/>
      <c r="H35" s="356" t="s">
        <v>452</v>
      </c>
      <c r="K35" s="496" t="s">
        <v>228</v>
      </c>
      <c r="L35" s="497"/>
      <c r="M35" s="497"/>
      <c r="N35" s="497"/>
      <c r="O35" s="206" t="s">
        <v>195</v>
      </c>
      <c r="P35" s="231">
        <f>SUM(N15:N18)*2</f>
        <v>24</v>
      </c>
      <c r="Q35" s="250"/>
      <c r="R35" s="250"/>
      <c r="S35" s="262">
        <f>P35*Цены!J184</f>
        <v>249.60000000000002</v>
      </c>
      <c r="T35" s="243"/>
      <c r="U35" s="309"/>
      <c r="V35" s="101"/>
      <c r="W35" s="101"/>
      <c r="X35" s="101"/>
      <c r="Y35" s="101"/>
      <c r="Z35" s="101"/>
      <c r="AA35" s="101"/>
      <c r="AB35" s="101"/>
      <c r="AC35" s="101"/>
      <c r="AD35" s="101"/>
      <c r="AE35" s="101"/>
      <c r="AF35" s="101"/>
      <c r="AG35" s="101"/>
      <c r="AH35" s="19"/>
      <c r="AI35" s="100"/>
      <c r="AJ35" s="442"/>
      <c r="AK35" s="442"/>
      <c r="AL35" s="442"/>
      <c r="AM35" s="442"/>
      <c r="AN35" s="442"/>
      <c r="AO35" s="442"/>
      <c r="AP35" s="442"/>
      <c r="AQ35" s="442"/>
      <c r="AR35" s="442"/>
      <c r="AS35" s="442"/>
      <c r="AT35" s="442"/>
      <c r="AU35" s="442"/>
      <c r="AV35" s="442"/>
      <c r="AW35" s="442"/>
      <c r="AX35" s="442"/>
      <c r="AY35" s="3"/>
      <c r="BM35" s="185">
        <f>BM18</f>
        <v>0</v>
      </c>
      <c r="BN35" s="185">
        <f>BN18</f>
        <v>0</v>
      </c>
      <c r="BO35" s="185"/>
      <c r="BP35" s="185">
        <f>BP18</f>
        <v>0</v>
      </c>
      <c r="BQ35" s="185">
        <f>BQ18</f>
        <v>0</v>
      </c>
      <c r="BR35" s="185"/>
      <c r="BT35" s="144"/>
      <c r="BU35" s="144"/>
      <c r="BV35" s="144"/>
      <c r="BW35" s="144"/>
    </row>
    <row r="36" spans="1:83" ht="25.05" customHeight="1" thickBot="1" x14ac:dyDescent="0.35">
      <c r="B36" s="204" t="s">
        <v>107</v>
      </c>
      <c r="C36" s="62">
        <f>E6+1</f>
        <v>1</v>
      </c>
      <c r="D36" s="63" t="str">
        <f>IF(C21&gt;5,BY33,BY34)</f>
        <v xml:space="preserve"> </v>
      </c>
      <c r="E36" s="329"/>
      <c r="F36" s="329"/>
      <c r="G36" s="329"/>
      <c r="H36" s="64"/>
      <c r="K36" s="496" t="s">
        <v>82</v>
      </c>
      <c r="L36" s="497"/>
      <c r="M36" s="497"/>
      <c r="N36" s="497"/>
      <c r="O36" s="206" t="s">
        <v>261</v>
      </c>
      <c r="P36" s="233">
        <f>ROUNDUP((IF(C25=BY28,(E25+F25)*2*G25,0)+IF(C26=BY28,(E26+F26)*2*G26,0)+IF(C27=BY28,(E27+F27)*2*G27,0)+IF(C28=BY28,(E28+F28)*2*G28,0)+IF(C29=BY28,(E29+F29)*2*G29,0))/1000,0)+ROUNDUP((IF(C40=$BY$28,(E40+F40)*2*G40,0)+IF(C41=$BY$28,(E41+F41)*2*G41,0)+IF(C42=$BY$28,(E42+F42)*2*G42,0)+IF(C43=$BY$28,(E43+F43)*2*G43,0)+IF(C44=$BY$28,(E44+F44)*2*G44,0))/1000,0)</f>
        <v>0</v>
      </c>
      <c r="Q36" s="252"/>
      <c r="R36" s="252"/>
      <c r="S36" s="262">
        <f>P36*Цены!J177</f>
        <v>0</v>
      </c>
      <c r="T36" s="243"/>
      <c r="U36" s="243"/>
      <c r="V36" s="447"/>
      <c r="W36" s="447"/>
      <c r="X36" s="447"/>
      <c r="Y36" s="447"/>
      <c r="Z36" s="447"/>
      <c r="AA36" s="447"/>
      <c r="AB36" s="447"/>
      <c r="AC36" s="447"/>
      <c r="AD36" s="447"/>
      <c r="AE36" s="447"/>
      <c r="AF36" s="447"/>
      <c r="AG36" s="447"/>
      <c r="AH36" s="447"/>
      <c r="AI36" s="256"/>
      <c r="AJ36" s="441"/>
      <c r="AK36" s="441"/>
      <c r="AL36" s="441"/>
      <c r="AM36" s="441"/>
      <c r="AN36" s="441"/>
      <c r="AO36" s="441"/>
      <c r="AP36" s="441"/>
      <c r="AQ36" s="441"/>
      <c r="AR36" s="441"/>
      <c r="AS36" s="441"/>
      <c r="AT36" s="441"/>
      <c r="AU36" s="441"/>
      <c r="AV36" s="441"/>
      <c r="AW36" s="441"/>
      <c r="AX36" s="441"/>
      <c r="BM36" s="185">
        <f>IF($E$6&lt;&gt;0,SUM(BM34:BM35)-BN36*$BD$5,0)</f>
        <v>0</v>
      </c>
      <c r="BN36" s="1">
        <f>INT(SUM(BM34:BM35)/$BD$5)</f>
        <v>0</v>
      </c>
      <c r="BP36" s="1">
        <f>IF($E$6&lt;&gt;0,SUM(BP34:BP35)-BQ36*$BD$7,0)</f>
        <v>0</v>
      </c>
      <c r="BQ36" s="1">
        <f>INT(SUM(BP34:BP35)/$BD$7)</f>
        <v>0</v>
      </c>
      <c r="BY36" s="1" t="s">
        <v>80</v>
      </c>
    </row>
    <row r="37" spans="1:83" ht="25.05" customHeight="1" x14ac:dyDescent="0.3">
      <c r="B37" s="66"/>
      <c r="C37" s="67"/>
      <c r="D37" s="67"/>
      <c r="E37" s="67"/>
      <c r="F37" s="67"/>
      <c r="G37" s="67"/>
      <c r="H37" s="68"/>
      <c r="K37" s="496" t="s">
        <v>84</v>
      </c>
      <c r="L37" s="497"/>
      <c r="M37" s="497"/>
      <c r="N37" s="497"/>
      <c r="O37" s="206" t="s">
        <v>196</v>
      </c>
      <c r="P37" s="233">
        <f>ROUNDUP((IF(C25=BY29,(E25+F25)*2*G25,0)+IF(C26=BY29,(E26+F26)*2*G26,0)+IF(C27=BY29,(E27+F27)*2*G27,0)+IF(C28=BY29,(E28+F28)*2*G28,0)+IF(C29=BY29,(E29+F29)*2*G29,0))/1000,0)+ROUNDUP((IF(C40=$BY$29,(E40+F40)*2*G40,0)+IF(C41=$BY$29,(E41+F41)*2*G41,0)+IF(C42=$BY$29,(E42+F42)*2*G42,0)+IF(C43=$BY$29,(E43+F43)*2*G43,0)+IF(C44=$BY$29,(E44+F44)*2*G44,0))/1000,0)</f>
        <v>40</v>
      </c>
      <c r="Q37" s="252"/>
      <c r="R37" s="252"/>
      <c r="S37" s="262">
        <f>P37*Цены!J178</f>
        <v>1773.1999999999998</v>
      </c>
      <c r="T37" s="243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BM37" s="478" t="s">
        <v>526</v>
      </c>
      <c r="BN37" s="478"/>
      <c r="BP37" s="477" t="s">
        <v>450</v>
      </c>
      <c r="BQ37" s="477"/>
      <c r="BY37" s="83" t="s">
        <v>159</v>
      </c>
    </row>
    <row r="38" spans="1:83" ht="25.05" customHeight="1" x14ac:dyDescent="0.3">
      <c r="B38" s="66"/>
      <c r="C38" s="67"/>
      <c r="D38" s="67"/>
      <c r="E38" s="67"/>
      <c r="F38" s="67"/>
      <c r="G38" s="67"/>
      <c r="H38" s="68"/>
      <c r="K38" s="496" t="s">
        <v>80</v>
      </c>
      <c r="L38" s="497"/>
      <c r="M38" s="497"/>
      <c r="N38" s="497"/>
      <c r="O38" s="206" t="s">
        <v>197</v>
      </c>
      <c r="P38" s="231">
        <f>IF(E13=BY36,P35,0)</f>
        <v>24</v>
      </c>
      <c r="Q38" s="250"/>
      <c r="R38" s="250"/>
      <c r="S38" s="262">
        <f>P38*Цены!J171</f>
        <v>302.39999999999998</v>
      </c>
      <c r="T38" s="243"/>
      <c r="AY38" s="3"/>
      <c r="BT38" s="3"/>
      <c r="BU38" s="3"/>
      <c r="BV38" s="3"/>
      <c r="BW38" s="3"/>
      <c r="BY38" s="83" t="s">
        <v>129</v>
      </c>
    </row>
    <row r="39" spans="1:83" ht="25.05" customHeight="1" x14ac:dyDescent="0.3">
      <c r="B39" s="69" t="s">
        <v>108</v>
      </c>
      <c r="C39" s="328" t="s">
        <v>109</v>
      </c>
      <c r="D39" s="70" t="s">
        <v>78</v>
      </c>
      <c r="E39" s="328" t="s">
        <v>110</v>
      </c>
      <c r="F39" s="328" t="s">
        <v>111</v>
      </c>
      <c r="G39" s="328" t="s">
        <v>127</v>
      </c>
      <c r="H39" s="71" t="s">
        <v>128</v>
      </c>
      <c r="K39" s="496" t="s">
        <v>166</v>
      </c>
      <c r="L39" s="497"/>
      <c r="M39" s="497"/>
      <c r="N39" s="497"/>
      <c r="O39" s="208" t="s">
        <v>198</v>
      </c>
      <c r="P39" s="422">
        <f>IF(E13=BY37,P35,0)</f>
        <v>0</v>
      </c>
      <c r="Q39" s="249"/>
      <c r="R39" s="249"/>
      <c r="S39" s="262">
        <f>P39*Цены!J132</f>
        <v>0</v>
      </c>
      <c r="T39" s="243"/>
      <c r="AY39" s="3"/>
      <c r="BA39" s="3"/>
      <c r="BB39" s="3"/>
      <c r="BC39" s="3"/>
      <c r="BD39" s="3"/>
      <c r="BE39" s="3"/>
      <c r="BF39" s="241" t="s">
        <v>524</v>
      </c>
      <c r="BG39" s="3"/>
      <c r="BH39" s="3"/>
      <c r="BI39" s="3"/>
      <c r="BJ39" s="3"/>
      <c r="BK39" s="3"/>
      <c r="BL39" s="3"/>
      <c r="BM39" s="3"/>
      <c r="BV39" s="144"/>
      <c r="BW39" s="144"/>
      <c r="BY39" s="1" t="s">
        <v>76</v>
      </c>
      <c r="CE39" s="301">
        <f>IF(E40&lt;&gt;0,1,0)</f>
        <v>1</v>
      </c>
    </row>
    <row r="40" spans="1:83" ht="25.05" customHeight="1" x14ac:dyDescent="0.3">
      <c r="B40" s="72" t="s">
        <v>112</v>
      </c>
      <c r="C40" s="15" t="s">
        <v>12</v>
      </c>
      <c r="D40" s="95">
        <v>0</v>
      </c>
      <c r="E40" s="16">
        <f>N4-
IF(E44=0,0,IF(C44=BY27,E44,IF(C44=BY28,E44+2,E44+3)))-
IF(E43=0,0,IF(C43=BY27,E43,IF(C43=BY28,E43+2,E43+3)))-
IF(E42=0,0,IF(C42=BY27,E42,IF(C42=BY28,E42+2,E42+3)))-
IF(E41=0,0,IF(C41=BY27,E41,IF(C41=BY28,E41+2,E41+3)))-44-
IF(C40=BY28,2,IF(C40=BY29,3,0))-E6*CI6</f>
        <v>2493</v>
      </c>
      <c r="F40" s="73">
        <f>IF(C40=$BY$29,$N$5-63,IF(C40=$BY$28,$N$5-62,$N$5-60))</f>
        <v>782</v>
      </c>
      <c r="G40" s="74">
        <f>$E$10</f>
        <v>3</v>
      </c>
      <c r="H40" s="75">
        <f>E40*F40*D40*G40/1000000</f>
        <v>0</v>
      </c>
      <c r="K40" s="490" t="s">
        <v>76</v>
      </c>
      <c r="L40" s="491"/>
      <c r="M40" s="491"/>
      <c r="N40" s="491"/>
      <c r="O40" s="206" t="s">
        <v>199</v>
      </c>
      <c r="P40" s="234">
        <f>IF(E13=BY39,ROUNDUP(M9*N9/1000,0),0)</f>
        <v>0</v>
      </c>
      <c r="Q40" s="253"/>
      <c r="R40" s="253"/>
      <c r="S40" s="262">
        <f>P40*Цены!J161</f>
        <v>0</v>
      </c>
      <c r="T40" s="243"/>
      <c r="AY40" s="3"/>
      <c r="AZ40" s="54" t="s">
        <v>453</v>
      </c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V40" s="144"/>
      <c r="BW40" s="144"/>
      <c r="BY40" s="6"/>
      <c r="CE40" s="301">
        <f>IF(E41&lt;&gt;0,1,0)</f>
        <v>0</v>
      </c>
    </row>
    <row r="41" spans="1:83" ht="25.05" customHeight="1" x14ac:dyDescent="0.3">
      <c r="B41" s="72" t="s">
        <v>113</v>
      </c>
      <c r="C41" s="15" t="s">
        <v>12</v>
      </c>
      <c r="D41" s="95">
        <v>0</v>
      </c>
      <c r="E41" s="17">
        <v>0</v>
      </c>
      <c r="F41" s="73">
        <f>IF(C41=$BY$29,$N$5-63,IF(C41=$BY$28,$N$5-62,$N$5-60))</f>
        <v>782</v>
      </c>
      <c r="G41" s="74">
        <f>IF(E41&lt;&gt;0,$E$10,0)</f>
        <v>0</v>
      </c>
      <c r="H41" s="75">
        <f>E41*F41*D41*G41/1000000</f>
        <v>0</v>
      </c>
      <c r="K41" s="490" t="s">
        <v>129</v>
      </c>
      <c r="L41" s="491"/>
      <c r="M41" s="491"/>
      <c r="N41" s="491"/>
      <c r="O41" s="206" t="s">
        <v>200</v>
      </c>
      <c r="P41" s="234">
        <f>IF(E13=BY38,ROUNDUP(M9*N9/1000,0),0)</f>
        <v>0</v>
      </c>
      <c r="Q41" s="253"/>
      <c r="R41" s="253"/>
      <c r="S41" s="262">
        <f>P41*Цены!J180</f>
        <v>0</v>
      </c>
      <c r="T41" s="243"/>
      <c r="AJ41" s="443"/>
      <c r="AK41" s="443"/>
      <c r="AL41" s="443"/>
      <c r="AM41" s="443"/>
      <c r="AN41" s="443"/>
      <c r="AO41" s="443"/>
      <c r="AP41" s="443"/>
      <c r="AQ41" s="443"/>
      <c r="AR41" s="443"/>
      <c r="AS41" s="443"/>
      <c r="AT41" s="443"/>
      <c r="AU41" s="443"/>
      <c r="AV41" s="443"/>
      <c r="AW41" s="443"/>
      <c r="AX41" s="443"/>
      <c r="AY41" s="3"/>
      <c r="AZ41" s="146">
        <f>IF(C25=$BY$27,(F25*E25/1000000)*8,IF(C25=$BY$28,(F25*E25/1000000)*6.5,(F25*E25/1000000)*11))</f>
        <v>21.444786000000001</v>
      </c>
      <c r="BA41" s="96">
        <v>1000</v>
      </c>
      <c r="BB41" s="96">
        <v>1250</v>
      </c>
      <c r="BC41" s="96">
        <v>1800</v>
      </c>
      <c r="BD41" s="96">
        <v>2000</v>
      </c>
      <c r="BE41" s="96">
        <v>2500</v>
      </c>
      <c r="BF41" s="96">
        <v>2700</v>
      </c>
      <c r="BG41" s="96">
        <v>3000</v>
      </c>
      <c r="BH41" s="96">
        <v>3600</v>
      </c>
      <c r="BI41" s="96">
        <v>3750</v>
      </c>
      <c r="BJ41" s="96">
        <v>4000</v>
      </c>
      <c r="BK41" s="96">
        <v>5000</v>
      </c>
      <c r="BL41" s="142">
        <v>5400</v>
      </c>
      <c r="BM41" s="187"/>
      <c r="BN41" s="186"/>
      <c r="BO41" s="186"/>
      <c r="BP41" s="186"/>
      <c r="BQ41" s="186"/>
      <c r="BR41" s="186"/>
      <c r="BS41" s="186"/>
      <c r="BV41" s="144"/>
      <c r="BW41" s="144"/>
      <c r="CE41" s="301">
        <f>IF(E42&lt;&gt;0,1,0)</f>
        <v>0</v>
      </c>
    </row>
    <row r="42" spans="1:83" ht="25.05" customHeight="1" x14ac:dyDescent="0.3">
      <c r="B42" s="72" t="s">
        <v>114</v>
      </c>
      <c r="C42" s="15" t="s">
        <v>12</v>
      </c>
      <c r="D42" s="95">
        <v>0</v>
      </c>
      <c r="E42" s="17">
        <v>0</v>
      </c>
      <c r="F42" s="73">
        <f>IF(C42=$BY$29,$N$5-63,IF(C42=$BY$28,$N$5-62,$N$5-60))</f>
        <v>782</v>
      </c>
      <c r="G42" s="74">
        <f t="shared" ref="G42:G44" si="22">IF(E42&lt;&gt;0,$E$10,0)</f>
        <v>0</v>
      </c>
      <c r="H42" s="75">
        <f>E42*F42*D42*G42/1000000</f>
        <v>0</v>
      </c>
      <c r="K42" s="490" t="s">
        <v>161</v>
      </c>
      <c r="L42" s="491"/>
      <c r="M42" s="491"/>
      <c r="N42" s="491"/>
      <c r="O42" s="293" t="s">
        <v>201</v>
      </c>
      <c r="P42" s="232">
        <f>IF(P41&gt;0,N9*2,0)</f>
        <v>0</v>
      </c>
      <c r="Q42" s="251"/>
      <c r="R42" s="251"/>
      <c r="S42" s="262">
        <f>P42*Цены!J176</f>
        <v>0</v>
      </c>
      <c r="T42" s="243"/>
      <c r="AY42" s="3"/>
      <c r="AZ42" s="146">
        <f>IF(C26=$BY$27,(F26*E26/1000000)*8,IF(C26=$BY$28,(F26*E26/1000000)*6.5,(F26*E26/1000000)*11))</f>
        <v>0</v>
      </c>
      <c r="BA42" s="141">
        <v>0</v>
      </c>
      <c r="BB42" s="141">
        <v>0</v>
      </c>
      <c r="BC42" s="141">
        <v>0</v>
      </c>
      <c r="BD42" s="141">
        <v>0</v>
      </c>
      <c r="BE42" s="141">
        <v>0</v>
      </c>
      <c r="BF42" s="141">
        <v>0</v>
      </c>
      <c r="BG42" s="141">
        <v>0</v>
      </c>
      <c r="BH42" s="141">
        <v>0</v>
      </c>
      <c r="BI42" s="141">
        <v>0</v>
      </c>
      <c r="BJ42" s="141">
        <v>0</v>
      </c>
      <c r="BK42" s="141">
        <v>0</v>
      </c>
      <c r="BL42" s="315">
        <f>BL26</f>
        <v>6</v>
      </c>
      <c r="BM42" s="141"/>
      <c r="BN42" s="188"/>
      <c r="BO42" s="188"/>
      <c r="BP42" s="188"/>
      <c r="BQ42" s="188"/>
      <c r="BR42" s="188"/>
      <c r="BS42" s="188"/>
      <c r="BV42" s="152"/>
      <c r="BW42" s="152"/>
      <c r="CE42" s="301">
        <f>IF(E43&lt;&gt;0,1,0)</f>
        <v>0</v>
      </c>
    </row>
    <row r="43" spans="1:83" ht="25.05" customHeight="1" x14ac:dyDescent="0.3">
      <c r="B43" s="72" t="s">
        <v>115</v>
      </c>
      <c r="C43" s="15" t="s">
        <v>12</v>
      </c>
      <c r="D43" s="95">
        <v>0</v>
      </c>
      <c r="E43" s="17">
        <v>0</v>
      </c>
      <c r="F43" s="73">
        <f>IF(C43=$BY$29,$N$5-63,IF(C43=$BY$28,$N$5-62,$N$5-60))</f>
        <v>782</v>
      </c>
      <c r="G43" s="74">
        <f t="shared" si="22"/>
        <v>0</v>
      </c>
      <c r="H43" s="75">
        <f>E43*F43*D43*G43/1000000</f>
        <v>0</v>
      </c>
      <c r="K43" s="490" t="s">
        <v>162</v>
      </c>
      <c r="L43" s="491"/>
      <c r="M43" s="491"/>
      <c r="N43" s="491"/>
      <c r="O43" s="206" t="s">
        <v>230</v>
      </c>
      <c r="P43" s="232">
        <f>E16</f>
        <v>0</v>
      </c>
      <c r="Q43" s="251"/>
      <c r="R43" s="251"/>
      <c r="S43" s="262">
        <f>P43*Цены!J146</f>
        <v>0</v>
      </c>
      <c r="T43" s="243"/>
      <c r="AY43" s="3"/>
      <c r="AZ43" s="146">
        <f>IF(C27=$BY$27,(F27*E27/1000000)*8,IF(C27=$BY$28,(F27*E27/1000000)*6.5,(F27*E27/1000000)*11))</f>
        <v>0</v>
      </c>
      <c r="BA43" s="141">
        <v>0</v>
      </c>
      <c r="BB43" s="141">
        <v>0</v>
      </c>
      <c r="BC43" s="141">
        <v>0</v>
      </c>
      <c r="BD43" s="141">
        <v>0</v>
      </c>
      <c r="BE43" s="141">
        <v>0</v>
      </c>
      <c r="BF43" s="141">
        <v>0</v>
      </c>
      <c r="BG43" s="141">
        <v>0</v>
      </c>
      <c r="BH43" s="141">
        <v>0</v>
      </c>
      <c r="BI43" s="141">
        <v>0</v>
      </c>
      <c r="BJ43" s="141">
        <v>0</v>
      </c>
      <c r="BK43" s="141">
        <v>0</v>
      </c>
      <c r="BL43" s="315">
        <f>BL27</f>
        <v>1</v>
      </c>
      <c r="BV43" s="144"/>
      <c r="BW43" s="144"/>
      <c r="BY43" s="79" t="s">
        <v>118</v>
      </c>
      <c r="CE43" s="301">
        <f>IF(E44&lt;&gt;0,1,0)</f>
        <v>0</v>
      </c>
    </row>
    <row r="44" spans="1:83" ht="25.05" customHeight="1" thickBot="1" x14ac:dyDescent="0.35">
      <c r="B44" s="80" t="s">
        <v>116</v>
      </c>
      <c r="C44" s="15" t="s">
        <v>12</v>
      </c>
      <c r="D44" s="95">
        <v>0</v>
      </c>
      <c r="E44" s="17">
        <v>0</v>
      </c>
      <c r="F44" s="73">
        <f>IF(C44=$BY$29,$N$5-63,IF(C44=$BY$28,$N$5-62,$N$5-60))</f>
        <v>782</v>
      </c>
      <c r="G44" s="74">
        <f t="shared" si="22"/>
        <v>0</v>
      </c>
      <c r="H44" s="75">
        <f>E44*F44*D44*G44/1000000</f>
        <v>0</v>
      </c>
      <c r="K44" s="546" t="s">
        <v>476</v>
      </c>
      <c r="L44" s="547"/>
      <c r="M44" s="547"/>
      <c r="N44" s="547"/>
      <c r="O44" s="236" t="s">
        <v>477</v>
      </c>
      <c r="P44" s="339">
        <f>E17</f>
        <v>0</v>
      </c>
      <c r="Q44" s="251"/>
      <c r="R44" s="251"/>
      <c r="S44" s="262">
        <f>P44*Цены!J185</f>
        <v>0</v>
      </c>
      <c r="T44" s="257"/>
      <c r="AY44" s="5"/>
      <c r="AZ44" s="146">
        <f>IF(C28=$BY$27,(F28*E28/1000000)*8,IF(C28=$BY$28,(F28*E28/1000000)*6.5,(F28*E28/1000000)*11))</f>
        <v>0</v>
      </c>
      <c r="BA44" s="143">
        <v>0</v>
      </c>
      <c r="BB44" s="143">
        <v>0</v>
      </c>
      <c r="BC44" s="143">
        <v>0</v>
      </c>
      <c r="BD44" s="143">
        <v>0</v>
      </c>
      <c r="BE44" s="141">
        <f>IF(AND((E37+E38)&gt;BD5,BP44=1),1,0)</f>
        <v>0</v>
      </c>
      <c r="BF44" s="143">
        <v>0</v>
      </c>
      <c r="BG44" s="143">
        <v>0</v>
      </c>
      <c r="BH44" s="143">
        <v>0</v>
      </c>
      <c r="BI44" s="143">
        <v>0</v>
      </c>
      <c r="BJ44" s="143">
        <v>0</v>
      </c>
      <c r="BK44" s="141">
        <f>IF(E4+E5&lt;=4950,BR44,IF(AND(BM44&gt;2500,BM44&lt;=4950),BN44+1,BN44)+IF(AND(BM45&gt;2500,BM45&lt;=4950),BN45+1,BN45)+IF(BP44=2,1,0))</f>
        <v>6</v>
      </c>
      <c r="BL44" s="143">
        <v>0</v>
      </c>
      <c r="BM44" s="185">
        <f>BM28</f>
        <v>0</v>
      </c>
      <c r="BN44" s="185">
        <f t="shared" ref="BN44:BR44" si="23">BN28</f>
        <v>3</v>
      </c>
      <c r="BO44" s="185"/>
      <c r="BP44" s="185">
        <f t="shared" si="23"/>
        <v>0</v>
      </c>
      <c r="BQ44" s="185"/>
      <c r="BR44" s="185">
        <f t="shared" si="23"/>
        <v>4</v>
      </c>
      <c r="BS44" s="185"/>
      <c r="BY44" s="79" t="s">
        <v>119</v>
      </c>
    </row>
    <row r="45" spans="1:83" ht="25.05" customHeight="1" thickBot="1" x14ac:dyDescent="0.35">
      <c r="B45" s="66"/>
      <c r="C45" s="67"/>
      <c r="D45" s="67"/>
      <c r="E45" s="502" t="s">
        <v>79</v>
      </c>
      <c r="F45" s="503"/>
      <c r="G45" s="504"/>
      <c r="H45" s="81">
        <f>SUM(H40:H44)</f>
        <v>0</v>
      </c>
      <c r="K45" s="490" t="s">
        <v>164</v>
      </c>
      <c r="L45" s="491"/>
      <c r="M45" s="491"/>
      <c r="N45" s="491"/>
      <c r="O45" s="236" t="s">
        <v>231</v>
      </c>
      <c r="P45" s="232">
        <f>IF(AND(E18=BY23,E12=BY23),1,IF(AND(E18=BY23,E11=BY23),2,IF(E18=BY23,E9-1+E10-1,0)))</f>
        <v>0</v>
      </c>
      <c r="Q45" s="250"/>
      <c r="R45" s="250"/>
      <c r="S45" s="456">
        <f>P46*Цены!J167</f>
        <v>0</v>
      </c>
      <c r="T45" s="5"/>
      <c r="U45" s="243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146">
        <f>IF(C29=$BY$27,(F29*E29/1000000)*8,IF(C29=$BY$28,(F29*E29/1000000)*6.5,(F29*E29/1000000)*11))</f>
        <v>0</v>
      </c>
      <c r="BM45" s="185">
        <f t="shared" ref="BM45:BR45" si="24">BM29</f>
        <v>0</v>
      </c>
      <c r="BN45" s="185">
        <f t="shared" si="24"/>
        <v>3</v>
      </c>
      <c r="BO45" s="185"/>
      <c r="BP45" s="185">
        <f t="shared" si="24"/>
        <v>0</v>
      </c>
      <c r="BQ45" s="185"/>
      <c r="BR45" s="185">
        <f t="shared" si="24"/>
        <v>0</v>
      </c>
      <c r="BS45" s="185"/>
    </row>
    <row r="46" spans="1:83" ht="25.05" customHeight="1" thickBot="1" x14ac:dyDescent="0.35">
      <c r="B46" s="66"/>
      <c r="C46" s="82" t="str">
        <f>IF((SUM(CE39:CE43)/C21)&lt;&gt;1,BY43,BY44)</f>
        <v>Верно внесены высоты вставок</v>
      </c>
      <c r="D46" s="329">
        <f>IF(C46=BY44,1,0)</f>
        <v>1</v>
      </c>
      <c r="E46" s="329"/>
      <c r="F46" s="329"/>
      <c r="G46" s="329"/>
      <c r="H46" s="68"/>
      <c r="K46" s="544" t="s">
        <v>470</v>
      </c>
      <c r="L46" s="545"/>
      <c r="M46" s="545"/>
      <c r="N46" s="545"/>
      <c r="O46" s="462" t="s">
        <v>471</v>
      </c>
      <c r="P46" s="449">
        <f>P30</f>
        <v>0</v>
      </c>
      <c r="Q46" s="246"/>
      <c r="R46" s="485" t="s">
        <v>432</v>
      </c>
      <c r="S46" s="457">
        <f>SUM(S25:S45)</f>
        <v>24867.45</v>
      </c>
      <c r="T46" s="257"/>
      <c r="U46" s="243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5"/>
      <c r="AZ46" s="147">
        <f>SUM(AZ41:AZ45)</f>
        <v>21.444786000000001</v>
      </c>
      <c r="BA46" s="143">
        <v>0</v>
      </c>
      <c r="BB46" s="143">
        <v>0</v>
      </c>
      <c r="BC46" s="143">
        <v>0</v>
      </c>
      <c r="BD46" s="143">
        <v>0</v>
      </c>
      <c r="BE46" s="141">
        <f t="shared" ref="BE46" si="25">IF(BP46=1,1,0)</f>
        <v>0</v>
      </c>
      <c r="BF46" s="143">
        <v>0</v>
      </c>
      <c r="BG46" s="143">
        <v>0</v>
      </c>
      <c r="BH46" s="143">
        <v>0</v>
      </c>
      <c r="BI46" s="143">
        <v>0</v>
      </c>
      <c r="BJ46" s="143">
        <v>0</v>
      </c>
      <c r="BK46" s="141">
        <f>IF(E4+E5&lt;=5025,BR46,IF(AND(BM46&gt;2500,BM46&lt;=5025),BN46+1,BN46)+IF(AND(BM47&gt;2500,BM47&lt;=5025),BN47+1,BN47)+IF(BP46=2,1,0))</f>
        <v>2</v>
      </c>
      <c r="BL46" s="143">
        <v>0</v>
      </c>
      <c r="BM46" s="185">
        <f t="shared" ref="BM46:BR46" si="26">BM30</f>
        <v>0</v>
      </c>
      <c r="BN46" s="185">
        <f t="shared" si="26"/>
        <v>1</v>
      </c>
      <c r="BO46" s="185"/>
      <c r="BP46" s="185">
        <f t="shared" si="26"/>
        <v>0</v>
      </c>
      <c r="BQ46" s="185"/>
      <c r="BR46" s="185">
        <f t="shared" si="26"/>
        <v>2</v>
      </c>
      <c r="BS46" s="185"/>
    </row>
    <row r="47" spans="1:83" ht="25.05" customHeight="1" thickBot="1" x14ac:dyDescent="0.4">
      <c r="A47" s="6"/>
      <c r="B47" s="66"/>
      <c r="C47" s="67"/>
      <c r="D47" s="67"/>
      <c r="E47" s="67"/>
      <c r="F47" s="67"/>
      <c r="G47" s="325" t="s">
        <v>268</v>
      </c>
      <c r="H47" s="357">
        <f>ROUNDUP((AZ22+AZ55)*1.1,0)</f>
        <v>30</v>
      </c>
      <c r="I47" s="6"/>
      <c r="J47" s="6"/>
      <c r="K47" s="6"/>
      <c r="L47" s="6"/>
      <c r="M47" s="327"/>
      <c r="N47" s="345"/>
      <c r="O47" s="99"/>
      <c r="P47" s="99"/>
      <c r="Q47" s="254"/>
      <c r="R47" s="485"/>
      <c r="S47" s="6"/>
      <c r="T47" s="5"/>
      <c r="BA47" s="141"/>
      <c r="BB47" s="141"/>
      <c r="BC47" s="141"/>
      <c r="BD47" s="141"/>
      <c r="BE47" s="141"/>
      <c r="BF47" s="141"/>
      <c r="BG47" s="141"/>
      <c r="BH47" s="141"/>
      <c r="BI47" s="141"/>
      <c r="BJ47" s="141"/>
      <c r="BK47" s="141"/>
      <c r="BL47" s="141"/>
      <c r="BM47" s="185">
        <f t="shared" ref="BM47:BP47" si="27">BM31</f>
        <v>0</v>
      </c>
      <c r="BN47" s="185">
        <f t="shared" si="27"/>
        <v>1</v>
      </c>
      <c r="BO47" s="185"/>
      <c r="BP47" s="185">
        <f t="shared" si="27"/>
        <v>0</v>
      </c>
      <c r="BQ47" s="185"/>
      <c r="BR47" s="185"/>
      <c r="BS47" s="185"/>
      <c r="BY47" s="90" t="s">
        <v>126</v>
      </c>
    </row>
    <row r="48" spans="1:83" ht="25.05" customHeight="1" thickBot="1" x14ac:dyDescent="0.35">
      <c r="A48" s="6"/>
      <c r="B48" s="353"/>
      <c r="C48" s="354" t="str">
        <f>IF(AND(SUM(CE39:CE43)/C21=1,E44=0,C21&lt;&gt;1),BY47,BY48)</f>
        <v xml:space="preserve"> </v>
      </c>
      <c r="D48" s="355"/>
      <c r="E48" s="354"/>
      <c r="F48" s="354"/>
      <c r="G48" s="151"/>
      <c r="H48" s="137"/>
      <c r="K48" s="6"/>
      <c r="L48" s="6"/>
      <c r="M48" s="562" t="s">
        <v>528</v>
      </c>
      <c r="N48" s="562"/>
      <c r="O48" s="562"/>
      <c r="P48" s="562"/>
      <c r="Q48" s="430"/>
      <c r="R48" s="6"/>
      <c r="S48" s="134">
        <f>S19+S46+H30</f>
        <v>105741.22999999998</v>
      </c>
      <c r="T48" s="5"/>
      <c r="BA48" s="143">
        <v>0</v>
      </c>
      <c r="BB48" s="143">
        <v>0</v>
      </c>
      <c r="BC48" s="143">
        <v>0</v>
      </c>
      <c r="BD48" s="143">
        <v>0</v>
      </c>
      <c r="BE48" s="141">
        <f>IF(AND((BM48+BM49)&gt;0,(BM48+BM49)&lt;=2500),1,0)</f>
        <v>0</v>
      </c>
      <c r="BF48" s="143">
        <v>0</v>
      </c>
      <c r="BG48" s="143">
        <v>0</v>
      </c>
      <c r="BH48" s="143">
        <v>0</v>
      </c>
      <c r="BI48" s="143">
        <v>0</v>
      </c>
      <c r="BJ48" s="143">
        <v>0</v>
      </c>
      <c r="BK48" s="141">
        <f>IF(BP48=1,0,IF(AND(BM48&gt;2500,BM48&lt;=4950),1,0)+IF(AND(BM49&gt;2500,BM49&lt;=4950),1,0))+BP48+BN48+BN49</f>
        <v>2</v>
      </c>
      <c r="BL48" s="143">
        <v>0</v>
      </c>
      <c r="BM48" s="185">
        <f t="shared" ref="BM48:BP48" si="28">BM32</f>
        <v>0</v>
      </c>
      <c r="BN48" s="185">
        <f t="shared" si="28"/>
        <v>1</v>
      </c>
      <c r="BO48" s="185"/>
      <c r="BP48" s="185">
        <f t="shared" si="28"/>
        <v>0</v>
      </c>
      <c r="BQ48" s="185"/>
      <c r="BR48" s="185"/>
      <c r="BS48" s="185"/>
      <c r="BY48" s="1" t="s">
        <v>94</v>
      </c>
    </row>
    <row r="49" spans="1:79" ht="30" customHeight="1" x14ac:dyDescent="0.3">
      <c r="A49" s="6"/>
      <c r="T49" s="5"/>
      <c r="AZ49" s="54" t="s">
        <v>457</v>
      </c>
      <c r="BM49" s="185">
        <f t="shared" ref="BM49:BP49" si="29">BM33</f>
        <v>0</v>
      </c>
      <c r="BN49" s="185">
        <f t="shared" si="29"/>
        <v>1</v>
      </c>
      <c r="BO49" s="185"/>
      <c r="BP49" s="185">
        <f t="shared" si="29"/>
        <v>0</v>
      </c>
      <c r="BQ49" s="185"/>
      <c r="BR49" s="185"/>
      <c r="BS49" s="185"/>
      <c r="BT49" s="188"/>
      <c r="BU49" s="189"/>
      <c r="BY49" s="6"/>
    </row>
    <row r="50" spans="1:79" ht="30" customHeight="1" x14ac:dyDescent="0.3">
      <c r="A50" s="6"/>
      <c r="T50" s="5"/>
      <c r="AZ50" s="146">
        <f>IF(C40=$BY$27,(F40*E40/1000000)*8,IF(C40=$BY$28,(F40*E40/1000000)*6.5,(F40*E40/1000000)*11))</f>
        <v>21.444786000000001</v>
      </c>
      <c r="BA50" s="143">
        <v>0</v>
      </c>
      <c r="BB50" s="143">
        <v>0</v>
      </c>
      <c r="BC50" s="143">
        <v>0</v>
      </c>
      <c r="BD50" s="143">
        <v>0</v>
      </c>
      <c r="BE50" s="190">
        <f>IF(E7=CG7,IF(AND((BM50+BM51)&gt;0,(BM50+BM51)&lt;=2500),1,0),0)</f>
        <v>0</v>
      </c>
      <c r="BF50" s="191">
        <f>IF(E7=CG6,IF(AND((BP50+BP51)&gt;0,(BP50+BP51)&lt;=2700),1,0),0)</f>
        <v>0</v>
      </c>
      <c r="BG50" s="143">
        <v>0</v>
      </c>
      <c r="BH50" s="143">
        <v>0</v>
      </c>
      <c r="BI50" s="143">
        <v>0</v>
      </c>
      <c r="BJ50" s="143">
        <v>0</v>
      </c>
      <c r="BK50" s="190">
        <f>IF(E7=CG7,IF(AND(BM19&gt;4000,BM19&lt;=4950),BN17+BN18+1,BN17+BN18),0)</f>
        <v>0</v>
      </c>
      <c r="BL50" s="191">
        <f>IF(E7=CG6,IF(AND(BP19&gt;3600,BP19&lt;=5350),BQ17+BQ18+1,BQ17+BQ18),0)</f>
        <v>0</v>
      </c>
      <c r="BM50" s="185">
        <f t="shared" ref="BM50:BQ50" si="30">BM34</f>
        <v>0</v>
      </c>
      <c r="BN50" s="185">
        <f t="shared" si="30"/>
        <v>0</v>
      </c>
      <c r="BO50" s="185"/>
      <c r="BP50" s="185">
        <f t="shared" si="30"/>
        <v>0</v>
      </c>
      <c r="BQ50" s="185">
        <f t="shared" si="30"/>
        <v>0</v>
      </c>
      <c r="BR50" s="185"/>
      <c r="BS50" s="185"/>
      <c r="BT50" s="6"/>
      <c r="BU50" s="6"/>
      <c r="BY50" s="38" t="str">
        <f>Цены!G6</f>
        <v>Серебро матовое</v>
      </c>
    </row>
    <row r="51" spans="1:79" x14ac:dyDescent="0.3">
      <c r="A51" s="6"/>
      <c r="T51" s="5"/>
      <c r="AZ51" s="146">
        <f>IF(C41=$BY$27,(F41*E41/1000000)*8,IF(C41=$BY$28,(F41*E41/1000000)*6.5,(F41*E41/1000000)*11))</f>
        <v>0</v>
      </c>
      <c r="BM51" s="185">
        <f t="shared" ref="BM51:BQ51" si="31">BM35</f>
        <v>0</v>
      </c>
      <c r="BN51" s="185">
        <f t="shared" si="31"/>
        <v>0</v>
      </c>
      <c r="BO51" s="185"/>
      <c r="BP51" s="185">
        <f t="shared" si="31"/>
        <v>0</v>
      </c>
      <c r="BQ51" s="185">
        <f t="shared" si="31"/>
        <v>0</v>
      </c>
      <c r="BR51" s="185"/>
      <c r="BS51" s="185"/>
      <c r="BT51" s="144"/>
      <c r="BU51" s="144"/>
      <c r="BY51" s="38" t="str">
        <f>Цены!G7</f>
        <v>Черный матовый</v>
      </c>
    </row>
    <row r="52" spans="1:79" x14ac:dyDescent="0.3">
      <c r="A52" s="6"/>
      <c r="T52" s="5"/>
      <c r="AZ52" s="146">
        <f>IF(C42=$BY$27,(F42*E42/1000000)*8,IF(C42=$BY$28,(F42*E42/1000000)*6.5,(F42*E42/1000000)*11))</f>
        <v>0</v>
      </c>
      <c r="BM52" s="185">
        <f>IF($E$6&lt;&gt;0,SUM(BM50:BM51)-BN52*$BD$5,0)</f>
        <v>0</v>
      </c>
      <c r="BN52" s="1">
        <f>INT(SUM(BM50:BM51)/$BD$5)</f>
        <v>0</v>
      </c>
      <c r="BP52" s="1">
        <f>IF($E$6&lt;&gt;0,SUM(BP50:BP51)-BQ52*$BD$7,0)</f>
        <v>0</v>
      </c>
      <c r="BQ52" s="1">
        <f>INT(SUM(BP50:BP51)/$BD$7)</f>
        <v>0</v>
      </c>
      <c r="BY52" s="38" t="str">
        <f>Цены!G8</f>
        <v>Слоновая кость</v>
      </c>
    </row>
    <row r="53" spans="1:79" x14ac:dyDescent="0.3">
      <c r="T53" s="5"/>
      <c r="AZ53" s="146">
        <f>IF(C43=$BY$27,(F43*E43/1000000)*8,IF(C43=$BY$28,(F43*E43/1000000)*6.5,(F43*E43/1000000)*11))</f>
        <v>0</v>
      </c>
      <c r="BM53" s="478" t="s">
        <v>526</v>
      </c>
      <c r="BN53" s="478"/>
      <c r="BP53" s="477" t="s">
        <v>450</v>
      </c>
      <c r="BQ53" s="477"/>
      <c r="BY53" s="38" t="str">
        <f>Цены!G9</f>
        <v>Белый матовый</v>
      </c>
    </row>
    <row r="54" spans="1:79" ht="15" thickBot="1" x14ac:dyDescent="0.35">
      <c r="T54" s="6"/>
      <c r="AZ54" s="146">
        <f>IF(C44=$BY$27,(F44*E44/1000000)*8,IF(C44=$BY$28,(F44*E44/1000000)*6.5,(F44*E44/1000000)*11))</f>
        <v>0</v>
      </c>
      <c r="BY54" s="38" t="str">
        <f>Цены!G10</f>
        <v xml:space="preserve">Венге темный </v>
      </c>
    </row>
    <row r="55" spans="1:79" ht="15" thickBot="1" x14ac:dyDescent="0.35">
      <c r="T55" s="6"/>
      <c r="AZ55" s="147">
        <f>SUM(AZ50:AZ54)</f>
        <v>21.444786000000001</v>
      </c>
      <c r="BY55" s="38" t="str">
        <f>Цены!G11</f>
        <v>Дуб белый</v>
      </c>
    </row>
    <row r="56" spans="1:79" ht="25.05" customHeight="1" x14ac:dyDescent="0.3">
      <c r="BA56" s="3"/>
      <c r="BB56" s="3"/>
      <c r="BC56" s="3"/>
      <c r="BD56" s="3"/>
      <c r="BE56" s="3"/>
      <c r="BF56" s="241" t="s">
        <v>525</v>
      </c>
      <c r="BG56" s="3"/>
      <c r="BH56" s="3"/>
      <c r="BI56" s="3"/>
      <c r="BJ56" s="3"/>
      <c r="BK56" s="3"/>
      <c r="BL56" s="3"/>
      <c r="BM56" s="3"/>
      <c r="BY56" s="38" t="str">
        <f>Цены!G12</f>
        <v xml:space="preserve"> медь античная*</v>
      </c>
    </row>
    <row r="57" spans="1:79" ht="25.05" customHeight="1" x14ac:dyDescent="0.3"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Y57" s="38" t="str">
        <f>Цены!G13</f>
        <v>сталь воронёная</v>
      </c>
    </row>
    <row r="58" spans="1:79" ht="25.05" customHeight="1" x14ac:dyDescent="0.3">
      <c r="BA58" s="96">
        <v>1000</v>
      </c>
      <c r="BB58" s="96">
        <v>1250</v>
      </c>
      <c r="BC58" s="96">
        <v>1800</v>
      </c>
      <c r="BD58" s="96">
        <v>2000</v>
      </c>
      <c r="BE58" s="96">
        <v>2500</v>
      </c>
      <c r="BF58" s="96">
        <v>2700</v>
      </c>
      <c r="BG58" s="96">
        <v>3000</v>
      </c>
      <c r="BH58" s="96">
        <v>3600</v>
      </c>
      <c r="BI58" s="96">
        <v>3750</v>
      </c>
      <c r="BJ58" s="96">
        <v>4000</v>
      </c>
      <c r="BK58" s="96">
        <v>5000</v>
      </c>
      <c r="BL58" s="142">
        <v>5400</v>
      </c>
      <c r="BM58" s="187"/>
      <c r="BN58" s="186"/>
      <c r="BO58" s="186"/>
      <c r="BP58" s="186"/>
      <c r="BQ58" s="186"/>
      <c r="BR58" s="186"/>
      <c r="BS58" s="186"/>
      <c r="BY58" s="38" t="str">
        <f>Цены!G14</f>
        <v>золото матовое</v>
      </c>
    </row>
    <row r="59" spans="1:79" ht="25.05" customHeight="1" x14ac:dyDescent="0.3">
      <c r="BA59" s="141">
        <v>0</v>
      </c>
      <c r="BB59" s="141">
        <v>0</v>
      </c>
      <c r="BC59" s="141">
        <v>0</v>
      </c>
      <c r="BD59" s="141">
        <v>0</v>
      </c>
      <c r="BE59" s="141">
        <v>0</v>
      </c>
      <c r="BF59" s="141">
        <v>0</v>
      </c>
      <c r="BG59" s="141">
        <v>0</v>
      </c>
      <c r="BH59" s="141">
        <v>0</v>
      </c>
      <c r="BI59" s="141">
        <v>0</v>
      </c>
      <c r="BJ59" s="141">
        <v>0</v>
      </c>
      <c r="BK59" s="141">
        <v>0</v>
      </c>
      <c r="BL59" s="315">
        <f>BL42</f>
        <v>6</v>
      </c>
      <c r="BM59" s="141"/>
      <c r="BN59" s="188"/>
      <c r="BO59" s="188"/>
      <c r="BP59" s="188"/>
      <c r="BQ59" s="188"/>
      <c r="BR59" s="188"/>
      <c r="BS59" s="188"/>
      <c r="BY59" s="38" t="str">
        <f>Цены!G15</f>
        <v>антрацит</v>
      </c>
      <c r="CA59" s="48">
        <v>0</v>
      </c>
    </row>
    <row r="60" spans="1:79" ht="25.05" customHeight="1" x14ac:dyDescent="0.3">
      <c r="BA60" s="141">
        <v>0</v>
      </c>
      <c r="BB60" s="141">
        <v>0</v>
      </c>
      <c r="BC60" s="141">
        <v>0</v>
      </c>
      <c r="BD60" s="141">
        <v>0</v>
      </c>
      <c r="BE60" s="141">
        <v>0</v>
      </c>
      <c r="BF60" s="141">
        <v>0</v>
      </c>
      <c r="BG60" s="141">
        <v>0</v>
      </c>
      <c r="BH60" s="141">
        <v>0</v>
      </c>
      <c r="BI60" s="141">
        <v>0</v>
      </c>
      <c r="BJ60" s="141">
        <v>0</v>
      </c>
      <c r="BK60" s="141">
        <v>0</v>
      </c>
      <c r="BL60" s="315">
        <f>BL43</f>
        <v>1</v>
      </c>
      <c r="BY60" s="38" t="str">
        <f>Цены!G16</f>
        <v>кварц бронзовый*</v>
      </c>
      <c r="CA60" s="48">
        <v>1</v>
      </c>
    </row>
    <row r="61" spans="1:79" ht="25.05" customHeight="1" x14ac:dyDescent="0.3">
      <c r="BA61" s="143">
        <v>0</v>
      </c>
      <c r="BB61" s="143">
        <v>0</v>
      </c>
      <c r="BC61" s="143">
        <v>0</v>
      </c>
      <c r="BD61" s="143">
        <v>0</v>
      </c>
      <c r="BE61" s="141">
        <f>IF(AND((E54+E55)&gt;BD5,BP61=1),1,0)</f>
        <v>0</v>
      </c>
      <c r="BF61" s="143">
        <v>0</v>
      </c>
      <c r="BG61" s="143">
        <v>0</v>
      </c>
      <c r="BH61" s="143">
        <v>0</v>
      </c>
      <c r="BI61" s="143">
        <v>0</v>
      </c>
      <c r="BJ61" s="143">
        <v>0</v>
      </c>
      <c r="BK61" s="141">
        <f>IF(E4+E5&lt;=4950,BR61,IF(AND(BM61&gt;2500,BM61&lt;=4950),BN61+1,BN61)+IF(AND(BM62&gt;2500,BM62&lt;=4950),BN62+1,BN62)+IF(BP61=2,1,0))</f>
        <v>6</v>
      </c>
      <c r="BL61" s="143">
        <v>0</v>
      </c>
      <c r="BM61" s="185">
        <f t="shared" ref="BM61:BN61" si="32">BM44</f>
        <v>0</v>
      </c>
      <c r="BN61" s="185">
        <f t="shared" si="32"/>
        <v>3</v>
      </c>
      <c r="BO61" s="185"/>
      <c r="BP61" s="185">
        <f>BP44</f>
        <v>0</v>
      </c>
      <c r="BQ61" s="185"/>
      <c r="BR61" s="185">
        <f>BR44</f>
        <v>4</v>
      </c>
      <c r="BS61" s="141"/>
      <c r="BY61" s="38" t="str">
        <f>Цены!G17</f>
        <v>жемчуг серый*</v>
      </c>
      <c r="CA61" s="48">
        <v>2</v>
      </c>
    </row>
    <row r="62" spans="1:79" ht="25.05" customHeight="1" x14ac:dyDescent="0.3">
      <c r="AZ62" s="146"/>
      <c r="BM62" s="185">
        <f t="shared" ref="BM62:BN62" si="33">BM45</f>
        <v>0</v>
      </c>
      <c r="BN62" s="185">
        <f t="shared" si="33"/>
        <v>3</v>
      </c>
      <c r="BO62" s="185"/>
      <c r="BP62" s="185"/>
      <c r="BQ62" s="185"/>
      <c r="BR62" s="185"/>
      <c r="BY62" s="38" t="str">
        <f>Цены!G18</f>
        <v>жемчуг розовый*</v>
      </c>
      <c r="CA62" s="48">
        <v>3</v>
      </c>
    </row>
    <row r="63" spans="1:79" ht="25.05" customHeight="1" x14ac:dyDescent="0.3">
      <c r="BA63" s="143">
        <v>0</v>
      </c>
      <c r="BB63" s="143">
        <v>0</v>
      </c>
      <c r="BC63" s="143">
        <v>0</v>
      </c>
      <c r="BD63" s="143">
        <v>0</v>
      </c>
      <c r="BE63" s="141">
        <f t="shared" ref="BE63" si="34">IF(BP63=1,1,0)</f>
        <v>0</v>
      </c>
      <c r="BF63" s="143">
        <v>0</v>
      </c>
      <c r="BG63" s="143">
        <v>0</v>
      </c>
      <c r="BH63" s="143">
        <v>0</v>
      </c>
      <c r="BI63" s="143">
        <v>0</v>
      </c>
      <c r="BJ63" s="143">
        <v>0</v>
      </c>
      <c r="BK63" s="141">
        <f>IF(E4+E5&lt;=5025,BR63,IF(AND(BM63&gt;2500,BM63&lt;=5025),BN63+1,BN63)+IF(AND(BM64&gt;2500,BM64&lt;=5025),BN64+1,BN64)+IF(BP63=2,1,0))</f>
        <v>2</v>
      </c>
      <c r="BL63" s="143">
        <v>0</v>
      </c>
      <c r="BM63" s="185">
        <f t="shared" ref="BM63:BN63" si="35">BM46</f>
        <v>0</v>
      </c>
      <c r="BN63" s="185">
        <f t="shared" si="35"/>
        <v>1</v>
      </c>
      <c r="BO63" s="185"/>
      <c r="BP63" s="185">
        <f>BP46</f>
        <v>0</v>
      </c>
      <c r="BQ63" s="185"/>
      <c r="BR63" s="185">
        <f>BR46</f>
        <v>2</v>
      </c>
      <c r="BS63" s="188"/>
      <c r="CA63" s="48">
        <v>4</v>
      </c>
    </row>
    <row r="64" spans="1:79" ht="25.05" customHeight="1" x14ac:dyDescent="0.3">
      <c r="BA64" s="141"/>
      <c r="BB64" s="141"/>
      <c r="BC64" s="141"/>
      <c r="BD64" s="141"/>
      <c r="BE64" s="141"/>
      <c r="BF64" s="141"/>
      <c r="BG64" s="141"/>
      <c r="BH64" s="141"/>
      <c r="BI64" s="141"/>
      <c r="BJ64" s="141"/>
      <c r="BK64" s="141"/>
      <c r="BL64" s="141"/>
      <c r="BM64" s="185">
        <f t="shared" ref="BM64:BN64" si="36">BM47</f>
        <v>0</v>
      </c>
      <c r="BN64" s="185">
        <f t="shared" si="36"/>
        <v>1</v>
      </c>
      <c r="BO64" s="185"/>
      <c r="BP64" s="185"/>
      <c r="BQ64" s="185"/>
      <c r="BR64" s="185"/>
      <c r="BS64" s="188"/>
      <c r="CA64" s="48">
        <v>5</v>
      </c>
    </row>
    <row r="65" spans="53:77" ht="25.05" customHeight="1" x14ac:dyDescent="0.3">
      <c r="BA65" s="143">
        <v>0</v>
      </c>
      <c r="BB65" s="143">
        <v>0</v>
      </c>
      <c r="BC65" s="143">
        <v>0</v>
      </c>
      <c r="BD65" s="143">
        <v>0</v>
      </c>
      <c r="BE65" s="141">
        <f>IF(AND((BM65+BM66)&gt;0,(BM65+BM66)&lt;=2500),1,0)</f>
        <v>0</v>
      </c>
      <c r="BF65" s="143">
        <v>0</v>
      </c>
      <c r="BG65" s="143">
        <v>0</v>
      </c>
      <c r="BH65" s="143">
        <v>0</v>
      </c>
      <c r="BI65" s="143">
        <v>0</v>
      </c>
      <c r="BJ65" s="143">
        <v>0</v>
      </c>
      <c r="BK65" s="141">
        <f>IF(BP65=1,0,IF(AND(BM65&gt;2500,BM65&lt;=4950),1,0)+IF(AND(BM66&gt;2500,BM66&lt;=4950),1,0))+BP65+BN65+BN66</f>
        <v>2</v>
      </c>
      <c r="BL65" s="143">
        <v>0</v>
      </c>
      <c r="BM65" s="185">
        <f t="shared" ref="BM65:BN65" si="37">BM48</f>
        <v>0</v>
      </c>
      <c r="BN65" s="185">
        <f t="shared" si="37"/>
        <v>1</v>
      </c>
      <c r="BO65" s="185"/>
      <c r="BP65" s="185">
        <f>IF(AND((BM65+BM66)&gt;3750,(BM65+BM66)&lt;=5000),1,0)</f>
        <v>0</v>
      </c>
      <c r="BQ65" s="185"/>
      <c r="BR65" s="185"/>
      <c r="BS65" s="188"/>
    </row>
    <row r="66" spans="53:77" ht="25.05" customHeight="1" x14ac:dyDescent="0.3">
      <c r="BM66" s="185">
        <f t="shared" ref="BM66:BN66" si="38">BM49</f>
        <v>0</v>
      </c>
      <c r="BN66" s="185">
        <f t="shared" si="38"/>
        <v>1</v>
      </c>
      <c r="BO66" s="185"/>
      <c r="BP66" s="185"/>
      <c r="BQ66" s="185"/>
      <c r="BR66" s="185">
        <f>BR49</f>
        <v>0</v>
      </c>
      <c r="BS66" s="185">
        <f>BS49</f>
        <v>0</v>
      </c>
      <c r="BT66" s="188"/>
      <c r="BU66" s="189"/>
    </row>
    <row r="67" spans="53:77" ht="25.05" customHeight="1" x14ac:dyDescent="0.3">
      <c r="BA67" s="143">
        <v>0</v>
      </c>
      <c r="BB67" s="143">
        <v>0</v>
      </c>
      <c r="BC67" s="191">
        <f>IF(E7=CG6,IF(AND((BP67+BP68)&gt;0,(BP67+BP68)&lt;=1800),1,0),0)</f>
        <v>0</v>
      </c>
      <c r="BD67" s="143">
        <v>0</v>
      </c>
      <c r="BE67" s="190">
        <f>IF(E7=CG7,IF(AND((BM67+BM68)&gt;0,(BM67+BM68)&lt;=2500),1,0),0)</f>
        <v>0</v>
      </c>
      <c r="BF67" s="191">
        <f>IF(E7=CG6,IF(AND((BP67+BP68)&gt;1800,(BP67+BP68)&lt;=2700),1,0),0)</f>
        <v>0</v>
      </c>
      <c r="BG67" s="143">
        <v>0</v>
      </c>
      <c r="BH67" s="191">
        <f>IF(E7=CG6,IF(AND(BP36&gt;2700,BP36&lt;=3600),1,0),0)</f>
        <v>0</v>
      </c>
      <c r="BI67" s="143">
        <v>0</v>
      </c>
      <c r="BJ67" s="143">
        <v>0</v>
      </c>
      <c r="BK67" s="190">
        <f>IF(E7=CG7,IF(AND(BM19&gt;4000,BM19&lt;=4950),BN17+BN18+1,BN17+BN18),0)</f>
        <v>0</v>
      </c>
      <c r="BL67" s="191">
        <f>IF(E7=CG6,IF(AND(BP19&gt;3600,BP19&lt;=5350),BQ17+BQ18+1,BQ17+BQ18),0)</f>
        <v>0</v>
      </c>
      <c r="BM67" s="185">
        <f>BM50</f>
        <v>0</v>
      </c>
      <c r="BN67" s="185">
        <f>BN50</f>
        <v>0</v>
      </c>
      <c r="BO67" s="185"/>
      <c r="BP67" s="185">
        <f>BP50</f>
        <v>0</v>
      </c>
      <c r="BQ67" s="185">
        <f>BQ50</f>
        <v>0</v>
      </c>
      <c r="BR67" s="185">
        <f>IF(AND((BM67+BM68)&gt;3750,(BM67+BM68)&lt;=5000),1,0)</f>
        <v>0</v>
      </c>
      <c r="BS67" s="185">
        <f>BS50</f>
        <v>0</v>
      </c>
      <c r="BT67" s="6"/>
      <c r="BU67" s="6"/>
    </row>
    <row r="68" spans="53:77" ht="25.05" customHeight="1" x14ac:dyDescent="0.3">
      <c r="BM68" s="185">
        <f>BM51</f>
        <v>0</v>
      </c>
      <c r="BN68" s="185">
        <f>BN51</f>
        <v>0</v>
      </c>
      <c r="BO68" s="185"/>
      <c r="BP68" s="185">
        <f>BP51</f>
        <v>0</v>
      </c>
      <c r="BQ68" s="185">
        <f>BQ51</f>
        <v>0</v>
      </c>
      <c r="BR68" s="185"/>
      <c r="BT68" s="144"/>
      <c r="BU68" s="144"/>
    </row>
    <row r="69" spans="53:77" x14ac:dyDescent="0.3">
      <c r="BM69" s="185">
        <f>IF($E$6&lt;&gt;0,SUM(BM67:BM68)-BN69*$BD$5,0)</f>
        <v>0</v>
      </c>
      <c r="BN69" s="1">
        <f>INT(SUM(BM67:BM68)/$BD$5)</f>
        <v>0</v>
      </c>
      <c r="BP69" s="1">
        <f>IF($E$6&lt;&gt;0,SUM(BP67:BP68)-BQ69*$BD$7,0)</f>
        <v>0</v>
      </c>
      <c r="BQ69" s="1">
        <f>INT(SUM(BP67:BP68)/$BD$7)</f>
        <v>0</v>
      </c>
      <c r="BY69" s="1" t="s">
        <v>176</v>
      </c>
    </row>
    <row r="70" spans="53:77" x14ac:dyDescent="0.3">
      <c r="BM70" s="478" t="s">
        <v>526</v>
      </c>
      <c r="BN70" s="478"/>
      <c r="BP70" s="477" t="s">
        <v>450</v>
      </c>
      <c r="BQ70" s="477"/>
      <c r="BY70" s="1" t="s">
        <v>175</v>
      </c>
    </row>
  </sheetData>
  <sheetProtection algorithmName="SHA-512" hashValue="txQP25Uj4bsgA4C63dQPtiZXIPnbS7WRCpUeBPLiONqHZPMMKzSQ7uzwmBidz7ucZN52j5MzgXH5RI+YteeXiQ==" saltValue="LyU/bmV/XUQPSXJX2RN3pA==" spinCount="100000" sheet="1" selectLockedCells="1"/>
  <mergeCells count="146">
    <mergeCell ref="BM70:BN70"/>
    <mergeCell ref="BP70:BQ70"/>
    <mergeCell ref="M48:P48"/>
    <mergeCell ref="W3:Y3"/>
    <mergeCell ref="BM20:BN20"/>
    <mergeCell ref="BP20:BQ20"/>
    <mergeCell ref="BM37:BN37"/>
    <mergeCell ref="BP37:BQ37"/>
    <mergeCell ref="BM53:BN53"/>
    <mergeCell ref="BP53:BQ53"/>
    <mergeCell ref="K31:N31"/>
    <mergeCell ref="S4:S5"/>
    <mergeCell ref="AI17:AI18"/>
    <mergeCell ref="AC15:AC16"/>
    <mergeCell ref="AH11:AH12"/>
    <mergeCell ref="AI11:AI12"/>
    <mergeCell ref="W11:W12"/>
    <mergeCell ref="X11:X12"/>
    <mergeCell ref="Y11:Y12"/>
    <mergeCell ref="Z11:Z12"/>
    <mergeCell ref="AA11:AA12"/>
    <mergeCell ref="AB11:AB12"/>
    <mergeCell ref="AC11:AC12"/>
    <mergeCell ref="AD11:AD12"/>
    <mergeCell ref="K40:N40"/>
    <mergeCell ref="K41:N41"/>
    <mergeCell ref="AE17:AE18"/>
    <mergeCell ref="AF17:AF18"/>
    <mergeCell ref="AG17:AG18"/>
    <mergeCell ref="AH17:AH18"/>
    <mergeCell ref="V17:V18"/>
    <mergeCell ref="W17:W18"/>
    <mergeCell ref="X17:X18"/>
    <mergeCell ref="Y17:Y18"/>
    <mergeCell ref="Z17:Z18"/>
    <mergeCell ref="AA17:AA18"/>
    <mergeCell ref="AB17:AB18"/>
    <mergeCell ref="AC17:AC18"/>
    <mergeCell ref="AD17:AD18"/>
    <mergeCell ref="B11:D11"/>
    <mergeCell ref="AE11:AE12"/>
    <mergeCell ref="AF11:AF12"/>
    <mergeCell ref="AG11:AG12"/>
    <mergeCell ref="B13:D13"/>
    <mergeCell ref="E13:H13"/>
    <mergeCell ref="B14:D14"/>
    <mergeCell ref="B1:H1"/>
    <mergeCell ref="K1:P1"/>
    <mergeCell ref="B3:D3"/>
    <mergeCell ref="E3:H3"/>
    <mergeCell ref="K3:L3"/>
    <mergeCell ref="B5:D5"/>
    <mergeCell ref="E5:H5"/>
    <mergeCell ref="E11:H11"/>
    <mergeCell ref="V11:V12"/>
    <mergeCell ref="O11:O12"/>
    <mergeCell ref="P11:P12"/>
    <mergeCell ref="S11:S12"/>
    <mergeCell ref="B12:D12"/>
    <mergeCell ref="E12:H12"/>
    <mergeCell ref="Z3:AA3"/>
    <mergeCell ref="B4:D4"/>
    <mergeCell ref="E4:H4"/>
    <mergeCell ref="B6:D6"/>
    <mergeCell ref="E6:H6"/>
    <mergeCell ref="V7:AI7"/>
    <mergeCell ref="B9:D9"/>
    <mergeCell ref="E9:H9"/>
    <mergeCell ref="B10:D10"/>
    <mergeCell ref="E10:H10"/>
    <mergeCell ref="B7:D7"/>
    <mergeCell ref="E7:H7"/>
    <mergeCell ref="K6:N6"/>
    <mergeCell ref="B8:D8"/>
    <mergeCell ref="E8:H8"/>
    <mergeCell ref="K7:N7"/>
    <mergeCell ref="S13:S14"/>
    <mergeCell ref="Z15:Z16"/>
    <mergeCell ref="AA15:AA16"/>
    <mergeCell ref="AB15:AB16"/>
    <mergeCell ref="S15:S16"/>
    <mergeCell ref="V15:V16"/>
    <mergeCell ref="W15:W16"/>
    <mergeCell ref="X15:X16"/>
    <mergeCell ref="Y15:Y16"/>
    <mergeCell ref="V13:V14"/>
    <mergeCell ref="W13:W14"/>
    <mergeCell ref="X13:X14"/>
    <mergeCell ref="AI13:AI14"/>
    <mergeCell ref="AI15:AI16"/>
    <mergeCell ref="Y13:Y14"/>
    <mergeCell ref="Z13:Z14"/>
    <mergeCell ref="AA13:AA14"/>
    <mergeCell ref="AB13:AB14"/>
    <mergeCell ref="AC13:AC14"/>
    <mergeCell ref="AH13:AH14"/>
    <mergeCell ref="AD13:AD14"/>
    <mergeCell ref="AE13:AE14"/>
    <mergeCell ref="AF13:AF14"/>
    <mergeCell ref="AG13:AG14"/>
    <mergeCell ref="B18:D18"/>
    <mergeCell ref="E18:H18"/>
    <mergeCell ref="K26:N26"/>
    <mergeCell ref="B15:D15"/>
    <mergeCell ref="E15:H15"/>
    <mergeCell ref="B16:D16"/>
    <mergeCell ref="E16:H16"/>
    <mergeCell ref="V19:AH19"/>
    <mergeCell ref="O17:O18"/>
    <mergeCell ref="P17:P18"/>
    <mergeCell ref="S17:S18"/>
    <mergeCell ref="K24:N24"/>
    <mergeCell ref="K25:N25"/>
    <mergeCell ref="AD15:AD16"/>
    <mergeCell ref="AE15:AE16"/>
    <mergeCell ref="AF15:AF16"/>
    <mergeCell ref="AG15:AG16"/>
    <mergeCell ref="AH15:AH16"/>
    <mergeCell ref="P15:P16"/>
    <mergeCell ref="B17:D17"/>
    <mergeCell ref="E17:H17"/>
    <mergeCell ref="AC21:AH21"/>
    <mergeCell ref="E14:H14"/>
    <mergeCell ref="O15:O16"/>
    <mergeCell ref="K33:N33"/>
    <mergeCell ref="R46:R47"/>
    <mergeCell ref="K32:N32"/>
    <mergeCell ref="K44:N44"/>
    <mergeCell ref="K46:N46"/>
    <mergeCell ref="K45:N45"/>
    <mergeCell ref="K34:N34"/>
    <mergeCell ref="K35:N35"/>
    <mergeCell ref="K36:N36"/>
    <mergeCell ref="K37:N37"/>
    <mergeCell ref="K38:N38"/>
    <mergeCell ref="K39:N39"/>
    <mergeCell ref="K42:N42"/>
    <mergeCell ref="K43:N43"/>
    <mergeCell ref="O13:O14"/>
    <mergeCell ref="P13:P14"/>
    <mergeCell ref="K27:N27"/>
    <mergeCell ref="E45:G45"/>
    <mergeCell ref="E30:G30"/>
    <mergeCell ref="K28:N28"/>
    <mergeCell ref="K29:N29"/>
    <mergeCell ref="K30:N30"/>
  </mergeCells>
  <conditionalFormatting sqref="E8 E11:E14 E3:E4 E6">
    <cfRule type="cellIs" dxfId="137" priority="91" operator="greaterThan">
      <formula>0</formula>
    </cfRule>
  </conditionalFormatting>
  <conditionalFormatting sqref="E15:E16 E18">
    <cfRule type="cellIs" dxfId="136" priority="89" operator="greaterThan">
      <formula>0</formula>
    </cfRule>
  </conditionalFormatting>
  <conditionalFormatting sqref="V9:AG11 V13:AG15 V17:AG17">
    <cfRule type="cellIs" dxfId="135" priority="88" operator="equal">
      <formula>0</formula>
    </cfRule>
  </conditionalFormatting>
  <conditionalFormatting sqref="L4">
    <cfRule type="expression" dxfId="134" priority="86">
      <formula>$L$4&gt;3200</formula>
    </cfRule>
  </conditionalFormatting>
  <conditionalFormatting sqref="E7">
    <cfRule type="cellIs" dxfId="133" priority="85" operator="greaterThan">
      <formula>0</formula>
    </cfRule>
  </conditionalFormatting>
  <conditionalFormatting sqref="H32">
    <cfRule type="expression" dxfId="132" priority="84">
      <formula>$H$32&gt;60</formula>
    </cfRule>
  </conditionalFormatting>
  <conditionalFormatting sqref="AI19:AN19 M14:N14 Y13:AI13 E25 F25:H29 L4:L5 H30 T28:T44 M12:N12 N16 T12 O13:R13 M11:R11 T14 M15:R15 T16 T18 U45:U46 T20 P10 AI10 P25:R43 Q44:R45 P45:P46 U12:U19 T46 M9:R9 M17:R17 AS19:AU19 T9:AI9 T10:AG10 U11:AI11 V15:AI15 V17:AI17">
    <cfRule type="expression" dxfId="131" priority="96">
      <formula>$E$4=0</formula>
    </cfRule>
  </conditionalFormatting>
  <conditionalFormatting sqref="AS41:AX41 AJ41:AN41 AI21">
    <cfRule type="expression" dxfId="130" priority="97">
      <formula>$E$4=0</formula>
    </cfRule>
  </conditionalFormatting>
  <conditionalFormatting sqref="L5">
    <cfRule type="expression" dxfId="129" priority="98">
      <formula>AND(OR($L$5&lt;600,$L$5&gt;1200),$E$4&gt;0)</formula>
    </cfRule>
  </conditionalFormatting>
  <conditionalFormatting sqref="E10">
    <cfRule type="cellIs" dxfId="128" priority="102" operator="greaterThan">
      <formula>0</formula>
    </cfRule>
  </conditionalFormatting>
  <conditionalFormatting sqref="E4:H4">
    <cfRule type="expression" dxfId="127" priority="83">
      <formula>$E$4&gt;5000</formula>
    </cfRule>
  </conditionalFormatting>
  <conditionalFormatting sqref="E5">
    <cfRule type="cellIs" dxfId="126" priority="76" operator="greaterThan">
      <formula>0</formula>
    </cfRule>
  </conditionalFormatting>
  <conditionalFormatting sqref="E5:H5">
    <cfRule type="expression" dxfId="125" priority="75">
      <formula>$E$5&gt;5000</formula>
    </cfRule>
  </conditionalFormatting>
  <conditionalFormatting sqref="N4">
    <cfRule type="expression" dxfId="124" priority="72">
      <formula>$L$4&gt;3200</formula>
    </cfRule>
  </conditionalFormatting>
  <conditionalFormatting sqref="N4:N5">
    <cfRule type="expression" dxfId="123" priority="73">
      <formula>$E$4=0</formula>
    </cfRule>
  </conditionalFormatting>
  <conditionalFormatting sqref="N5">
    <cfRule type="expression" dxfId="122" priority="74">
      <formula>AND(OR($N$5&lt;600,$N$5&gt;1200),$E$4&gt;0)</formula>
    </cfRule>
  </conditionalFormatting>
  <conditionalFormatting sqref="E9">
    <cfRule type="cellIs" dxfId="121" priority="71" operator="greaterThan">
      <formula>0</formula>
    </cfRule>
  </conditionalFormatting>
  <conditionalFormatting sqref="D21:G21">
    <cfRule type="expression" dxfId="120" priority="981">
      <formula>$D$21=#REF!</formula>
    </cfRule>
  </conditionalFormatting>
  <conditionalFormatting sqref="AE17">
    <cfRule type="cellIs" dxfId="119" priority="57" operator="equal">
      <formula>0</formula>
    </cfRule>
  </conditionalFormatting>
  <conditionalFormatting sqref="AE17">
    <cfRule type="expression" dxfId="118" priority="58">
      <formula>$E$4=0</formula>
    </cfRule>
  </conditionalFormatting>
  <conditionalFormatting sqref="Y17">
    <cfRule type="cellIs" dxfId="117" priority="61" operator="equal">
      <formula>0</formula>
    </cfRule>
  </conditionalFormatting>
  <conditionalFormatting sqref="Y17">
    <cfRule type="expression" dxfId="116" priority="62">
      <formula>$E$4=0</formula>
    </cfRule>
  </conditionalFormatting>
  <conditionalFormatting sqref="AB17">
    <cfRule type="cellIs" dxfId="115" priority="59" operator="equal">
      <formula>0</formula>
    </cfRule>
  </conditionalFormatting>
  <conditionalFormatting sqref="AB17">
    <cfRule type="expression" dxfId="114" priority="60">
      <formula>$E$4=0</formula>
    </cfRule>
  </conditionalFormatting>
  <conditionalFormatting sqref="AA17">
    <cfRule type="cellIs" dxfId="113" priority="55" operator="equal">
      <formula>0</formula>
    </cfRule>
  </conditionalFormatting>
  <conditionalFormatting sqref="AA17">
    <cfRule type="expression" dxfId="112" priority="56">
      <formula>$E$4=0</formula>
    </cfRule>
  </conditionalFormatting>
  <conditionalFormatting sqref="AC17">
    <cfRule type="cellIs" dxfId="111" priority="53" operator="equal">
      <formula>0</formula>
    </cfRule>
  </conditionalFormatting>
  <conditionalFormatting sqref="AC17">
    <cfRule type="expression" dxfId="110" priority="54">
      <formula>$E$4=0</formula>
    </cfRule>
  </conditionalFormatting>
  <conditionalFormatting sqref="E40 H45 F40:H44">
    <cfRule type="expression" dxfId="109" priority="31">
      <formula>$E$4=0</formula>
    </cfRule>
  </conditionalFormatting>
  <conditionalFormatting sqref="D36:G36">
    <cfRule type="expression" dxfId="108" priority="32">
      <formula>$D$21=#REF!</formula>
    </cfRule>
  </conditionalFormatting>
  <conditionalFormatting sqref="U1:AN2 T47:AN47 S22:T23 S1:T3 T7:T21 U23:AX23 AO1:AX6 S6:T6 T4:T5 U4:Z4 AC3:AN4 AO39:AX47 U3 W3 Z3:AA3 U5:AN8 U9:AI17 U39:AN40 U42:AN46 U41:AB41 AJ41:AN41 U18:AU19 U20:AB20 AJ20:AX20 AC21:AI21 AO7:AU8 T24:T46">
    <cfRule type="expression" dxfId="107" priority="20">
      <formula>$O$3=$CF$9</formula>
    </cfRule>
  </conditionalFormatting>
  <conditionalFormatting sqref="U1:AN2 U23:AX23 U4:Z4 AC3:AN4 U3 AO1:AX6 W3 Z3:AA3 U5:AN8 U9:AI17 U39:AX40 U42:AX47 U41:AB41 AJ41:AX41 U18:AU19 U20:AB20 AJ20:AX20 AC21:AI21 AO7:AU8">
    <cfRule type="expression" dxfId="106" priority="18">
      <formula>$O$3=$CF$10</formula>
    </cfRule>
  </conditionalFormatting>
  <conditionalFormatting sqref="H47">
    <cfRule type="expression" dxfId="105" priority="14">
      <formula>$H$47&gt;60</formula>
    </cfRule>
  </conditionalFormatting>
  <conditionalFormatting sqref="E17">
    <cfRule type="cellIs" dxfId="104" priority="11" operator="greaterThan">
      <formula>0</formula>
    </cfRule>
  </conditionalFormatting>
  <conditionalFormatting sqref="C31">
    <cfRule type="expression" dxfId="103" priority="1002">
      <formula>$C$31=$BY$43</formula>
    </cfRule>
    <cfRule type="expression" dxfId="102" priority="1003">
      <formula>$C$31=$BY$44</formula>
    </cfRule>
  </conditionalFormatting>
  <conditionalFormatting sqref="C33">
    <cfRule type="expression" dxfId="101" priority="1004">
      <formula>$C$33=$BY$47</formula>
    </cfRule>
  </conditionalFormatting>
  <conditionalFormatting sqref="C46">
    <cfRule type="expression" dxfId="100" priority="1009">
      <formula>$C$46=$BY$43</formula>
    </cfRule>
    <cfRule type="expression" dxfId="99" priority="1010">
      <formula>$C$46=$BY$44</formula>
    </cfRule>
  </conditionalFormatting>
  <conditionalFormatting sqref="C48">
    <cfRule type="expression" dxfId="98" priority="1011">
      <formula>$C$48=$BY$47</formula>
    </cfRule>
  </conditionalFormatting>
  <conditionalFormatting sqref="AO19:AR19">
    <cfRule type="expression" dxfId="97" priority="7">
      <formula>$E$4=0</formula>
    </cfRule>
  </conditionalFormatting>
  <conditionalFormatting sqref="AO41:AR41">
    <cfRule type="expression" dxfId="96" priority="8">
      <formula>$E$4=0</formula>
    </cfRule>
  </conditionalFormatting>
  <conditionalFormatting sqref="AJ9:AU17">
    <cfRule type="expression" dxfId="95" priority="3">
      <formula>$E$4=0</formula>
    </cfRule>
  </conditionalFormatting>
  <dataValidations count="10">
    <dataValidation type="list" allowBlank="1" showInputMessage="1" showErrorMessage="1" sqref="E7">
      <formula1>$CG$6:$CG$7</formula1>
    </dataValidation>
    <dataValidation type="list" allowBlank="1" showInputMessage="1" showErrorMessage="1" sqref="E6">
      <formula1>$CA$59:$CA$63</formula1>
    </dataValidation>
    <dataValidation type="whole" allowBlank="1" showInputMessage="1" showErrorMessage="1" sqref="E16">
      <formula1>0</formula1>
      <formula2>20</formula2>
    </dataValidation>
    <dataValidation type="list" allowBlank="1" showInputMessage="1" showErrorMessage="1" sqref="E13">
      <formula1>$BY$36:$BY$39</formula1>
    </dataValidation>
    <dataValidation type="list" allowBlank="1" showInputMessage="1" showErrorMessage="1" sqref="C25:C29 C40:C44">
      <formula1>$BY$27:$BY$29</formula1>
    </dataValidation>
    <dataValidation type="list" allowBlank="1" showInputMessage="1" showErrorMessage="1" sqref="E18 E14:E15 E11:E12">
      <formula1>$BY$23:$BY$24</formula1>
    </dataValidation>
    <dataValidation type="list" allowBlank="1" showInputMessage="1" showErrorMessage="1" sqref="E9:H10">
      <formula1>$CA$60:$CA$64</formula1>
    </dataValidation>
    <dataValidation type="whole" allowBlank="1" showInputMessage="1" showErrorMessage="1" errorTitle="Неверное количество" error="Введите количество от 0 до 10" sqref="E17:H17">
      <formula1>0</formula1>
      <formula2>10</formula2>
    </dataValidation>
    <dataValidation type="list" allowBlank="1" showInputMessage="1" showErrorMessage="1" sqref="E8:H8">
      <formula1>$BY$50:$BY$62</formula1>
    </dataValidation>
    <dataValidation type="list" allowBlank="1" showInputMessage="1" showErrorMessage="1" sqref="Z3:AA3">
      <formula1>$CF$21:$CF$28</formula1>
    </dataValidation>
  </dataValidations>
  <printOptions horizontalCentered="1" verticalCentered="1"/>
  <pageMargins left="0.11811023622047245" right="0.11811023622047245" top="0.74803149606299213" bottom="0.74803149606299213" header="0.31496062992125984" footer="0.31496062992125984"/>
  <pageSetup paperSize="9" scale="28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87" id="{38478EFD-C577-4F99-B786-5E0EF8A8E3A4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D31:G31</xm:sqref>
        </x14:conditionalFormatting>
        <x14:conditionalFormatting xmlns:xm="http://schemas.microsoft.com/office/excel/2006/main">
          <x14:cfRule type="iconSet" priority="27" id="{6D416614-45BA-49BF-9D1A-DA1D336814A1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D46:G46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1"/>
    <pageSetUpPr fitToPage="1"/>
  </sheetPr>
  <dimension ref="A1:CH68"/>
  <sheetViews>
    <sheetView topLeftCell="B1" zoomScale="70" zoomScaleNormal="70" zoomScalePageLayoutView="110" workbookViewId="0">
      <selection activeCell="E5" sqref="E5:H5"/>
    </sheetView>
  </sheetViews>
  <sheetFormatPr defaultColWidth="8.88671875" defaultRowHeight="14.4" x14ac:dyDescent="0.3"/>
  <cols>
    <col min="1" max="1" width="1.77734375" style="1" customWidth="1"/>
    <col min="2" max="3" width="45.77734375" style="1" customWidth="1"/>
    <col min="4" max="8" width="14.77734375" style="1" customWidth="1"/>
    <col min="9" max="9" width="1.77734375" style="1" customWidth="1"/>
    <col min="10" max="10" width="37.5546875" style="1" customWidth="1"/>
    <col min="11" max="15" width="14.77734375" style="1" customWidth="1"/>
    <col min="16" max="16" width="1.77734375" style="5" customWidth="1"/>
    <col min="17" max="17" width="14.77734375" style="5" hidden="1" customWidth="1"/>
    <col min="18" max="18" width="14.6640625" style="222" customWidth="1"/>
    <col min="19" max="19" width="1.77734375" style="5" customWidth="1"/>
    <col min="20" max="20" width="37.5546875" style="308" customWidth="1"/>
    <col min="21" max="32" width="11.77734375" style="1" customWidth="1"/>
    <col min="33" max="34" width="14.77734375" style="1" customWidth="1"/>
    <col min="35" max="46" width="5.77734375" style="1" hidden="1" customWidth="1"/>
    <col min="47" max="47" width="13.88671875" style="1" hidden="1" customWidth="1"/>
    <col min="48" max="49" width="14.77734375" style="1" hidden="1" customWidth="1"/>
    <col min="50" max="50" width="8.44140625" style="1" hidden="1" customWidth="1"/>
    <col min="51" max="51" width="14.77734375" style="1" hidden="1" customWidth="1"/>
    <col min="52" max="53" width="13" style="1" hidden="1" customWidth="1"/>
    <col min="54" max="54" width="11.21875" style="1" hidden="1" customWidth="1"/>
    <col min="55" max="55" width="11.44140625" style="1" hidden="1" customWidth="1"/>
    <col min="56" max="56" width="11.5546875" style="1" hidden="1" customWidth="1"/>
    <col min="57" max="57" width="12.109375" style="1" hidden="1" customWidth="1"/>
    <col min="58" max="58" width="12.21875" style="1" hidden="1" customWidth="1"/>
    <col min="59" max="60" width="11" style="1" hidden="1" customWidth="1"/>
    <col min="61" max="61" width="12.6640625" style="1" hidden="1" customWidth="1"/>
    <col min="62" max="62" width="11.88671875" style="1" hidden="1" customWidth="1"/>
    <col min="63" max="63" width="10.109375" style="1" hidden="1" customWidth="1"/>
    <col min="64" max="69" width="8.88671875" style="1" hidden="1" customWidth="1"/>
    <col min="70" max="72" width="14.109375" style="1" hidden="1" customWidth="1"/>
    <col min="73" max="73" width="10.109375" style="1" hidden="1" customWidth="1"/>
    <col min="74" max="74" width="23" style="1" hidden="1" customWidth="1"/>
    <col min="75" max="75" width="16.6640625" style="1" hidden="1" customWidth="1"/>
    <col min="76" max="76" width="27.21875" style="1" hidden="1" customWidth="1"/>
    <col min="77" max="77" width="24.33203125" style="1" hidden="1" customWidth="1"/>
    <col min="78" max="78" width="24" style="1" hidden="1" customWidth="1"/>
    <col min="79" max="86" width="8.88671875" style="1" hidden="1" customWidth="1"/>
    <col min="87" max="16384" width="8.88671875" style="1"/>
  </cols>
  <sheetData>
    <row r="1" spans="1:83" ht="25.05" customHeight="1" x14ac:dyDescent="0.3">
      <c r="B1" s="524" t="s">
        <v>104</v>
      </c>
      <c r="C1" s="524"/>
      <c r="D1" s="524"/>
      <c r="E1" s="524"/>
      <c r="F1" s="524"/>
      <c r="G1" s="524"/>
      <c r="H1" s="524"/>
      <c r="I1" s="149"/>
      <c r="J1" s="524" t="s">
        <v>105</v>
      </c>
      <c r="K1" s="524"/>
      <c r="L1" s="524"/>
      <c r="M1" s="524"/>
      <c r="N1" s="524"/>
      <c r="O1" s="524"/>
    </row>
    <row r="2" spans="1:83" ht="25.05" customHeight="1" thickBot="1" x14ac:dyDescent="0.35"/>
    <row r="3" spans="1:83" ht="25.05" customHeight="1" thickBot="1" x14ac:dyDescent="0.35">
      <c r="A3" s="6"/>
      <c r="B3" s="527" t="s">
        <v>121</v>
      </c>
      <c r="C3" s="528"/>
      <c r="D3" s="528"/>
      <c r="E3" s="571">
        <v>2600</v>
      </c>
      <c r="F3" s="535"/>
      <c r="G3" s="535"/>
      <c r="H3" s="536"/>
      <c r="I3" s="47"/>
      <c r="J3" s="550" t="s">
        <v>270</v>
      </c>
      <c r="K3" s="551"/>
      <c r="N3" s="437"/>
      <c r="O3" s="437"/>
      <c r="P3" s="104"/>
      <c r="Q3" s="104"/>
      <c r="R3" s="3"/>
      <c r="S3" s="3"/>
      <c r="T3" s="3"/>
      <c r="V3" s="366"/>
      <c r="W3" s="591" t="s">
        <v>424</v>
      </c>
      <c r="X3" s="591"/>
      <c r="Y3" s="591"/>
      <c r="Z3" s="495" t="s">
        <v>425</v>
      </c>
      <c r="AA3" s="495"/>
      <c r="AB3" s="366"/>
      <c r="AC3" s="366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BE3" s="241" t="s">
        <v>425</v>
      </c>
    </row>
    <row r="4" spans="1:83" ht="25.05" customHeight="1" x14ac:dyDescent="0.3">
      <c r="B4" s="529" t="s">
        <v>120</v>
      </c>
      <c r="C4" s="530"/>
      <c r="D4" s="530"/>
      <c r="E4" s="570">
        <v>1000</v>
      </c>
      <c r="F4" s="537"/>
      <c r="G4" s="537"/>
      <c r="H4" s="538"/>
      <c r="J4" s="21" t="s">
        <v>18</v>
      </c>
      <c r="K4" s="291">
        <f>IF(E8=BV6,E3-77,E3-57)</f>
        <v>2523</v>
      </c>
      <c r="N4" s="6"/>
      <c r="O4" s="6"/>
      <c r="R4" s="475" t="s">
        <v>460</v>
      </c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</row>
    <row r="5" spans="1:83" ht="25.05" customHeight="1" thickBot="1" x14ac:dyDescent="0.35">
      <c r="B5" s="529" t="s">
        <v>449</v>
      </c>
      <c r="C5" s="530"/>
      <c r="D5" s="530"/>
      <c r="E5" s="572">
        <v>0</v>
      </c>
      <c r="F5" s="514"/>
      <c r="G5" s="514"/>
      <c r="H5" s="515"/>
      <c r="J5" s="150" t="s">
        <v>19</v>
      </c>
      <c r="K5" s="292">
        <f>ROUNDDOWN(IF(E9=BV9,(E4-10-10-2)/2,
IF(E9=BV10,(E4-10-10-2-2-10)/4,0)),0)</f>
        <v>489</v>
      </c>
      <c r="L5" s="5"/>
      <c r="M5" s="5"/>
      <c r="N5" s="5"/>
      <c r="O5" s="5"/>
      <c r="R5" s="476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Z5" s="141" t="s">
        <v>263</v>
      </c>
      <c r="BA5" s="141"/>
      <c r="BB5" s="141"/>
      <c r="BC5" s="185">
        <v>4950</v>
      </c>
      <c r="BD5" s="185"/>
      <c r="BE5" s="185"/>
      <c r="BF5" s="185"/>
      <c r="BG5" s="185"/>
      <c r="BH5" s="185"/>
      <c r="BI5" s="185"/>
      <c r="BJ5" s="185"/>
      <c r="BK5" s="185"/>
      <c r="BL5" s="185"/>
      <c r="BM5" s="186"/>
      <c r="BN5" s="186"/>
      <c r="BO5" s="186"/>
      <c r="BP5" s="186"/>
      <c r="BQ5" s="186"/>
      <c r="BR5" s="186"/>
      <c r="BS5" s="6"/>
      <c r="BT5" s="6"/>
      <c r="BV5" s="1" t="s">
        <v>89</v>
      </c>
      <c r="BY5" s="1" t="s">
        <v>458</v>
      </c>
      <c r="BZ5" s="1" t="s">
        <v>244</v>
      </c>
      <c r="CA5" s="1">
        <f>IF(E6=BY5,9,8)</f>
        <v>8</v>
      </c>
    </row>
    <row r="6" spans="1:83" ht="25.05" customHeight="1" thickBot="1" x14ac:dyDescent="0.35">
      <c r="B6" s="529" t="s">
        <v>243</v>
      </c>
      <c r="C6" s="530"/>
      <c r="D6" s="530"/>
      <c r="E6" s="572" t="s">
        <v>459</v>
      </c>
      <c r="F6" s="514"/>
      <c r="G6" s="514"/>
      <c r="H6" s="515"/>
      <c r="J6" s="6"/>
      <c r="K6" s="6"/>
      <c r="L6" s="6"/>
      <c r="M6" s="6"/>
      <c r="N6" s="6"/>
      <c r="O6" s="6"/>
      <c r="R6" s="327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Z6" s="141" t="s">
        <v>264</v>
      </c>
      <c r="BA6" s="141"/>
      <c r="BB6" s="141"/>
      <c r="BC6" s="141">
        <v>5025</v>
      </c>
      <c r="BD6" s="185"/>
      <c r="BE6" s="141"/>
      <c r="BF6" s="141"/>
      <c r="BG6" s="141"/>
      <c r="BH6" s="141"/>
      <c r="BI6" s="141"/>
      <c r="BJ6" s="141"/>
      <c r="BK6" s="141"/>
      <c r="BL6" s="141"/>
      <c r="BM6" s="186"/>
      <c r="BN6" s="186"/>
      <c r="BO6" s="186"/>
      <c r="BP6" s="186"/>
      <c r="BQ6" s="186"/>
      <c r="BR6" s="186"/>
      <c r="BS6" s="6"/>
      <c r="BT6" s="6"/>
      <c r="BV6" s="1" t="s">
        <v>154</v>
      </c>
      <c r="BY6" s="1" t="s">
        <v>459</v>
      </c>
      <c r="BZ6" s="1" t="s">
        <v>260</v>
      </c>
    </row>
    <row r="7" spans="1:83" ht="25.05" customHeight="1" x14ac:dyDescent="0.3">
      <c r="B7" s="529" t="s">
        <v>122</v>
      </c>
      <c r="C7" s="530"/>
      <c r="D7" s="530"/>
      <c r="E7" s="573" t="s">
        <v>234</v>
      </c>
      <c r="F7" s="574"/>
      <c r="G7" s="574"/>
      <c r="H7" s="575"/>
      <c r="J7" s="593" t="s">
        <v>182</v>
      </c>
      <c r="K7" s="594"/>
      <c r="L7" s="594"/>
      <c r="M7" s="594"/>
      <c r="N7" s="428"/>
      <c r="O7" s="135"/>
      <c r="P7" s="324"/>
      <c r="Q7" s="324"/>
      <c r="R7" s="258"/>
      <c r="S7" s="194"/>
      <c r="T7" s="317"/>
      <c r="U7" s="498" t="s">
        <v>100</v>
      </c>
      <c r="V7" s="498"/>
      <c r="W7" s="498"/>
      <c r="X7" s="498"/>
      <c r="Y7" s="498"/>
      <c r="Z7" s="498"/>
      <c r="AA7" s="498"/>
      <c r="AB7" s="498"/>
      <c r="AC7" s="498"/>
      <c r="AD7" s="498"/>
      <c r="AE7" s="498"/>
      <c r="AF7" s="498"/>
      <c r="AG7" s="498"/>
      <c r="AH7" s="499"/>
      <c r="AI7" s="451"/>
      <c r="AJ7" s="451"/>
      <c r="AK7" s="451"/>
      <c r="AL7" s="451"/>
      <c r="AM7" s="451"/>
      <c r="AN7" s="451"/>
      <c r="AO7" s="451"/>
      <c r="AP7" s="451"/>
      <c r="AQ7" s="451"/>
      <c r="AR7" s="451"/>
      <c r="AS7" s="451"/>
      <c r="AT7" s="451"/>
      <c r="AU7" s="451"/>
      <c r="AV7" s="451"/>
      <c r="AW7" s="451"/>
      <c r="AX7" s="3" t="s">
        <v>272</v>
      </c>
      <c r="AY7" s="3"/>
      <c r="AZ7" s="185" t="s">
        <v>265</v>
      </c>
      <c r="BA7" s="185"/>
      <c r="BB7" s="185"/>
      <c r="BC7" s="141">
        <v>5350</v>
      </c>
      <c r="BD7" s="185"/>
      <c r="BE7" s="141"/>
      <c r="BF7" s="141"/>
      <c r="BG7" s="141"/>
      <c r="BH7" s="141"/>
      <c r="BI7" s="141"/>
      <c r="BJ7" s="141"/>
      <c r="BK7" s="141"/>
      <c r="BL7" s="141"/>
      <c r="BM7" s="186"/>
      <c r="BN7" s="186"/>
      <c r="BO7" s="186"/>
      <c r="BP7" s="186"/>
      <c r="BQ7" s="186"/>
      <c r="BR7" s="186"/>
      <c r="BS7" s="6"/>
      <c r="BT7" s="6"/>
      <c r="BX7" s="10"/>
    </row>
    <row r="8" spans="1:83" ht="25.05" customHeight="1" x14ac:dyDescent="0.3">
      <c r="B8" s="587" t="s">
        <v>123</v>
      </c>
      <c r="C8" s="588"/>
      <c r="D8" s="588"/>
      <c r="E8" s="576" t="s">
        <v>154</v>
      </c>
      <c r="F8" s="577"/>
      <c r="G8" s="577"/>
      <c r="H8" s="578"/>
      <c r="J8" s="411" t="s">
        <v>0</v>
      </c>
      <c r="K8" s="412" t="s">
        <v>1</v>
      </c>
      <c r="L8" s="412" t="s">
        <v>7</v>
      </c>
      <c r="M8" s="412" t="s">
        <v>9</v>
      </c>
      <c r="N8" s="205" t="s">
        <v>101</v>
      </c>
      <c r="O8" s="239" t="s">
        <v>23</v>
      </c>
      <c r="P8" s="140"/>
      <c r="Q8" s="140"/>
      <c r="R8" s="259" t="s">
        <v>24</v>
      </c>
      <c r="S8" s="140"/>
      <c r="T8" s="425"/>
      <c r="U8" s="96">
        <v>1000</v>
      </c>
      <c r="V8" s="96">
        <v>1250</v>
      </c>
      <c r="W8" s="96">
        <v>1800</v>
      </c>
      <c r="X8" s="96">
        <v>2000</v>
      </c>
      <c r="Y8" s="96">
        <v>2500</v>
      </c>
      <c r="Z8" s="96">
        <v>2700</v>
      </c>
      <c r="AA8" s="96">
        <v>3000</v>
      </c>
      <c r="AB8" s="96">
        <v>3600</v>
      </c>
      <c r="AC8" s="96">
        <v>3750</v>
      </c>
      <c r="AD8" s="96">
        <v>4000</v>
      </c>
      <c r="AE8" s="96">
        <v>5000</v>
      </c>
      <c r="AF8" s="96">
        <v>5400</v>
      </c>
      <c r="AG8" s="205" t="s">
        <v>101</v>
      </c>
      <c r="AH8" s="52" t="s">
        <v>24</v>
      </c>
      <c r="AI8" s="452"/>
      <c r="AJ8" s="452"/>
      <c r="AK8" s="452"/>
      <c r="AL8" s="452"/>
      <c r="AM8" s="452"/>
      <c r="AN8" s="452"/>
      <c r="AO8" s="452"/>
      <c r="AP8" s="452"/>
      <c r="AQ8" s="452"/>
      <c r="AR8" s="452"/>
      <c r="AS8" s="452"/>
      <c r="AT8" s="452"/>
      <c r="AU8" s="452"/>
      <c r="AV8" s="452"/>
      <c r="AW8" s="452"/>
      <c r="AX8" s="53"/>
      <c r="AY8" s="53"/>
      <c r="AZ8" s="96">
        <v>1000</v>
      </c>
      <c r="BA8" s="96">
        <v>1250</v>
      </c>
      <c r="BB8" s="96">
        <v>1800</v>
      </c>
      <c r="BC8" s="96">
        <v>2000</v>
      </c>
      <c r="BD8" s="96">
        <v>2500</v>
      </c>
      <c r="BE8" s="96">
        <v>2700</v>
      </c>
      <c r="BF8" s="96">
        <v>3000</v>
      </c>
      <c r="BG8" s="96">
        <v>3600</v>
      </c>
      <c r="BH8" s="96">
        <v>3750</v>
      </c>
      <c r="BI8" s="96">
        <v>4000</v>
      </c>
      <c r="BJ8" s="96">
        <v>5000</v>
      </c>
      <c r="BK8" s="142">
        <v>5400</v>
      </c>
      <c r="BL8" s="187"/>
      <c r="BM8" s="186"/>
      <c r="BN8" s="186"/>
      <c r="BO8" s="186"/>
      <c r="BP8" s="186"/>
      <c r="BQ8" s="186"/>
      <c r="BR8" s="186"/>
      <c r="BS8" s="6"/>
      <c r="BT8" s="6" t="s">
        <v>128</v>
      </c>
    </row>
    <row r="9" spans="1:83" ht="25.05" customHeight="1" x14ac:dyDescent="0.35">
      <c r="B9" s="531" t="s">
        <v>124</v>
      </c>
      <c r="C9" s="532"/>
      <c r="D9" s="532"/>
      <c r="E9" s="572">
        <v>1</v>
      </c>
      <c r="F9" s="514"/>
      <c r="G9" s="514"/>
      <c r="H9" s="515"/>
      <c r="J9" s="22" t="s">
        <v>2</v>
      </c>
      <c r="K9" s="238" t="s">
        <v>190</v>
      </c>
      <c r="L9" s="128">
        <f>K4</f>
        <v>2523</v>
      </c>
      <c r="M9" s="129">
        <f>IF(AND(E3&gt;0,E9=BV9),4,IF(AND(E3&gt;0,E9=BV10),8,0))</f>
        <v>4</v>
      </c>
      <c r="N9" s="432"/>
      <c r="O9" s="339">
        <f>IF(L9&gt;2650,M9,M9/2)</f>
        <v>2</v>
      </c>
      <c r="P9" s="269"/>
      <c r="Q9" s="269"/>
      <c r="R9" s="260">
        <f t="shared" ref="R9:R15" si="0">O9*BT9</f>
        <v>10821.96</v>
      </c>
      <c r="S9" s="255"/>
      <c r="T9" s="436" t="str">
        <f>J9</f>
        <v>вертикальный профиль</v>
      </c>
      <c r="U9" s="432">
        <f>IF($Z$3=$CE$21,AZ9,IF($Z$3=$CE$27,AZ35,IF($Z$3=$CE$28,AZ48,AZ22)))</f>
        <v>0</v>
      </c>
      <c r="V9" s="432">
        <f t="shared" ref="V9:AF9" si="1">IF($Z$3=$CE$21,BA9,IF($Z$3=$CE$27,BA35,IF($Z$3=$CE$28,BA48,BA22)))</f>
        <v>0</v>
      </c>
      <c r="W9" s="432">
        <f t="shared" si="1"/>
        <v>0</v>
      </c>
      <c r="X9" s="432">
        <f t="shared" si="1"/>
        <v>0</v>
      </c>
      <c r="Y9" s="432">
        <f t="shared" si="1"/>
        <v>0</v>
      </c>
      <c r="Z9" s="432">
        <f t="shared" si="1"/>
        <v>0</v>
      </c>
      <c r="AA9" s="432">
        <f t="shared" si="1"/>
        <v>0</v>
      </c>
      <c r="AB9" s="432">
        <f t="shared" si="1"/>
        <v>0</v>
      </c>
      <c r="AC9" s="432">
        <f t="shared" si="1"/>
        <v>0</v>
      </c>
      <c r="AD9" s="432">
        <f t="shared" si="1"/>
        <v>0</v>
      </c>
      <c r="AE9" s="432">
        <f t="shared" si="1"/>
        <v>0</v>
      </c>
      <c r="AF9" s="432">
        <f t="shared" si="1"/>
        <v>2</v>
      </c>
      <c r="AG9" s="123"/>
      <c r="AH9" s="433">
        <f>$R$9</f>
        <v>10821.96</v>
      </c>
      <c r="AI9" s="463"/>
      <c r="AJ9" s="463"/>
      <c r="AK9" s="463"/>
      <c r="AL9" s="463"/>
      <c r="AM9" s="463"/>
      <c r="AN9" s="463"/>
      <c r="AO9" s="463"/>
      <c r="AP9" s="463"/>
      <c r="AQ9" s="463"/>
      <c r="AR9" s="463"/>
      <c r="AS9" s="463"/>
      <c r="AT9" s="463"/>
      <c r="AU9" s="463"/>
      <c r="AV9" s="463"/>
      <c r="AW9" s="463"/>
      <c r="AX9" s="362">
        <v>0.69</v>
      </c>
      <c r="AY9" s="3">
        <f>AX9*L9*M9/1000</f>
        <v>6.9634799999999997</v>
      </c>
      <c r="AZ9" s="141">
        <v>0</v>
      </c>
      <c r="BA9" s="141">
        <v>0</v>
      </c>
      <c r="BB9" s="141">
        <v>0</v>
      </c>
      <c r="BC9" s="141">
        <v>0</v>
      </c>
      <c r="BD9" s="141">
        <v>0</v>
      </c>
      <c r="BE9" s="141">
        <v>0</v>
      </c>
      <c r="BF9" s="141">
        <v>0</v>
      </c>
      <c r="BG9" s="141">
        <v>0</v>
      </c>
      <c r="BH9" s="141">
        <v>0</v>
      </c>
      <c r="BI9" s="141">
        <v>0</v>
      </c>
      <c r="BJ9" s="141">
        <v>0</v>
      </c>
      <c r="BK9" s="316">
        <f>O9</f>
        <v>2</v>
      </c>
      <c r="BL9" s="141"/>
      <c r="BM9" s="188"/>
      <c r="BN9" s="188"/>
      <c r="BO9" s="188"/>
      <c r="BP9" s="188"/>
      <c r="BQ9" s="188"/>
      <c r="BR9" s="188"/>
      <c r="BS9" s="144"/>
      <c r="BT9" s="144">
        <f t="array" ref="BT9">INDEX(Цены!J:J,MATCH(J9&amp;$E$7,Цены!C:C&amp;Цены!G:G,0))</f>
        <v>5410.98</v>
      </c>
      <c r="BV9" s="48">
        <v>1</v>
      </c>
      <c r="CE9" s="1" t="s">
        <v>462</v>
      </c>
    </row>
    <row r="10" spans="1:83" ht="25.05" customHeight="1" x14ac:dyDescent="0.3">
      <c r="B10" s="510" t="s">
        <v>173</v>
      </c>
      <c r="C10" s="511"/>
      <c r="D10" s="511"/>
      <c r="E10" s="579" t="s">
        <v>85</v>
      </c>
      <c r="F10" s="512"/>
      <c r="G10" s="512"/>
      <c r="H10" s="513"/>
      <c r="J10" s="22" t="s">
        <v>4</v>
      </c>
      <c r="K10" s="235" t="s">
        <v>191</v>
      </c>
      <c r="L10" s="128">
        <f>E4-2</f>
        <v>998</v>
      </c>
      <c r="M10" s="129">
        <f>IF(E4=0,0,1)</f>
        <v>1</v>
      </c>
      <c r="N10" s="417">
        <f>L10*M10</f>
        <v>998</v>
      </c>
      <c r="O10" s="339">
        <f>CEILING((L10*M10)/5000,1)</f>
        <v>1</v>
      </c>
      <c r="P10" s="269"/>
      <c r="Q10" s="269"/>
      <c r="R10" s="260">
        <f t="shared" si="0"/>
        <v>5816.07</v>
      </c>
      <c r="S10" s="255"/>
      <c r="T10" s="436" t="str">
        <f t="shared" ref="T10:T13" si="2">J10</f>
        <v>направляющая верхняя</v>
      </c>
      <c r="U10" s="432">
        <f>IF($Z$3=$CE$21,AZ10,IF($Z$3=$CE$27,AZ36,IF($Z$3=$CE$28,AZ49,AZ23)))</f>
        <v>0</v>
      </c>
      <c r="V10" s="432">
        <f t="shared" ref="V10:AF10" si="3">IF($Z$3=$CE$21,BA10,IF($Z$3=$CE$27,BA36,IF($Z$3=$CE$28,BA49,BA23)))</f>
        <v>0</v>
      </c>
      <c r="W10" s="432">
        <f t="shared" si="3"/>
        <v>0</v>
      </c>
      <c r="X10" s="432">
        <f t="shared" si="3"/>
        <v>0</v>
      </c>
      <c r="Y10" s="432">
        <f t="shared" si="3"/>
        <v>1</v>
      </c>
      <c r="Z10" s="432">
        <f t="shared" si="3"/>
        <v>0</v>
      </c>
      <c r="AA10" s="432">
        <f t="shared" si="3"/>
        <v>0</v>
      </c>
      <c r="AB10" s="432">
        <f t="shared" si="3"/>
        <v>0</v>
      </c>
      <c r="AC10" s="432">
        <f t="shared" si="3"/>
        <v>0</v>
      </c>
      <c r="AD10" s="432">
        <f t="shared" si="3"/>
        <v>0</v>
      </c>
      <c r="AE10" s="432">
        <f t="shared" si="3"/>
        <v>0</v>
      </c>
      <c r="AF10" s="432">
        <f t="shared" si="3"/>
        <v>0</v>
      </c>
      <c r="AG10" s="417">
        <f>AU10</f>
        <v>2500</v>
      </c>
      <c r="AH10" s="421">
        <f>Y10*BT10*0.5+AE10*BT10</f>
        <v>2908.0349999999999</v>
      </c>
      <c r="AI10" s="453">
        <f>U10*$U$8</f>
        <v>0</v>
      </c>
      <c r="AJ10" s="453">
        <f>V10*$V$8</f>
        <v>0</v>
      </c>
      <c r="AK10" s="453">
        <f>W10*$W$8</f>
        <v>0</v>
      </c>
      <c r="AL10" s="453">
        <f>X10*$X$8</f>
        <v>0</v>
      </c>
      <c r="AM10" s="453">
        <f>Y10*$Y$8</f>
        <v>2500</v>
      </c>
      <c r="AN10" s="453">
        <f>Z10*$Z$8</f>
        <v>0</v>
      </c>
      <c r="AO10" s="453">
        <f>AA10*$AA$8</f>
        <v>0</v>
      </c>
      <c r="AP10" s="453">
        <f>AB10*$AB$8</f>
        <v>0</v>
      </c>
      <c r="AQ10" s="453">
        <f>AC10*$AC$8</f>
        <v>0</v>
      </c>
      <c r="AR10" s="453">
        <f>AD10*$AD$8</f>
        <v>0</v>
      </c>
      <c r="AS10" s="453">
        <f>AE10*$AE$8</f>
        <v>0</v>
      </c>
      <c r="AT10" s="453">
        <f>AF10*$AF$8</f>
        <v>0</v>
      </c>
      <c r="AU10" s="453">
        <f>SUM(AI10:AT10)</f>
        <v>2500</v>
      </c>
      <c r="AV10" s="453"/>
      <c r="AW10" s="453"/>
      <c r="AX10" s="3"/>
      <c r="AY10" s="3"/>
      <c r="AZ10" s="143">
        <v>0</v>
      </c>
      <c r="BA10" s="143">
        <v>0</v>
      </c>
      <c r="BB10" s="143">
        <v>0</v>
      </c>
      <c r="BC10" s="143">
        <v>0</v>
      </c>
      <c r="BD10" s="141">
        <f>IF(AND(BL10&gt;0,BL10&lt;=2500),1,0)</f>
        <v>1</v>
      </c>
      <c r="BE10" s="143">
        <v>0</v>
      </c>
      <c r="BF10" s="143">
        <v>0</v>
      </c>
      <c r="BG10" s="143">
        <v>0</v>
      </c>
      <c r="BH10" s="143">
        <v>0</v>
      </c>
      <c r="BI10" s="143">
        <v>0</v>
      </c>
      <c r="BJ10" s="141">
        <f>IF(AND(BL10&gt;2500,BL10&lt;=BC5),BM10+1,BM10)</f>
        <v>0</v>
      </c>
      <c r="BK10" s="143">
        <v>0</v>
      </c>
      <c r="BL10" s="185">
        <f>$N$10-$BC$5*BM10</f>
        <v>998</v>
      </c>
      <c r="BM10" s="141">
        <f>INT($N$10/$BC$5)</f>
        <v>0</v>
      </c>
      <c r="BN10" s="141"/>
      <c r="BO10" s="141"/>
      <c r="BP10" s="141"/>
      <c r="BQ10" s="141"/>
      <c r="BR10" s="141"/>
      <c r="BS10" s="3"/>
      <c r="BT10" s="3">
        <f t="array" ref="BT10">IFERROR(INDEX(Цены!J:J,MATCH(J10&amp;$E$7,Цены!C:C&amp;Цены!G:G,0)),Цены!J33)</f>
        <v>5816.07</v>
      </c>
      <c r="BV10" s="48">
        <v>2</v>
      </c>
      <c r="CE10" s="1" t="s">
        <v>460</v>
      </c>
    </row>
    <row r="11" spans="1:83" ht="25.05" customHeight="1" x14ac:dyDescent="0.3">
      <c r="B11" s="516" t="s">
        <v>158</v>
      </c>
      <c r="C11" s="517"/>
      <c r="D11" s="517"/>
      <c r="E11" s="579" t="s">
        <v>129</v>
      </c>
      <c r="F11" s="512"/>
      <c r="G11" s="512"/>
      <c r="H11" s="513"/>
      <c r="J11" s="22" t="s">
        <v>519</v>
      </c>
      <c r="K11" s="235" t="s">
        <v>217</v>
      </c>
      <c r="L11" s="128">
        <f>IF(E8=BV5,L10,0)</f>
        <v>0</v>
      </c>
      <c r="M11" s="129">
        <f>IF(E8=BV5,1,0)</f>
        <v>0</v>
      </c>
      <c r="N11" s="417">
        <f t="shared" ref="N11:N13" si="4">L11*M11</f>
        <v>0</v>
      </c>
      <c r="O11" s="339">
        <f>CEILING((L11*M11)/5400,1)</f>
        <v>0</v>
      </c>
      <c r="P11" s="269"/>
      <c r="Q11" s="269"/>
      <c r="R11" s="260">
        <f t="shared" si="0"/>
        <v>0</v>
      </c>
      <c r="S11" s="274"/>
      <c r="T11" s="436" t="str">
        <f t="shared" si="2"/>
        <v>направляющая верхняя однополозная</v>
      </c>
      <c r="U11" s="432">
        <f>IF($Z$3=$CE$21,AZ11,IF($Z$3=$CE$27,AZ37,IF($Z$3=$CE$28,AZ50,AZ24)))</f>
        <v>0</v>
      </c>
      <c r="V11" s="432">
        <f t="shared" ref="V11:AF15" si="5">IF($Z$3=$CE$21,BA11,IF($Z$3=$CE$27,BA37,IF($Z$3=$CE$28,BA50,BA24)))</f>
        <v>0</v>
      </c>
      <c r="W11" s="432">
        <f t="shared" si="5"/>
        <v>0</v>
      </c>
      <c r="X11" s="432">
        <f t="shared" si="5"/>
        <v>0</v>
      </c>
      <c r="Y11" s="432">
        <f t="shared" si="5"/>
        <v>0</v>
      </c>
      <c r="Z11" s="432">
        <f t="shared" si="5"/>
        <v>0</v>
      </c>
      <c r="AA11" s="432">
        <f t="shared" si="5"/>
        <v>0</v>
      </c>
      <c r="AB11" s="432">
        <f t="shared" si="5"/>
        <v>0</v>
      </c>
      <c r="AC11" s="432">
        <f t="shared" si="5"/>
        <v>0</v>
      </c>
      <c r="AD11" s="432">
        <f t="shared" si="5"/>
        <v>0</v>
      </c>
      <c r="AE11" s="432">
        <f t="shared" si="5"/>
        <v>0</v>
      </c>
      <c r="AF11" s="432">
        <f t="shared" si="5"/>
        <v>0</v>
      </c>
      <c r="AG11" s="417">
        <f t="shared" ref="AG11:AG15" si="6">AU11</f>
        <v>0</v>
      </c>
      <c r="AH11" s="433">
        <f>(Z11*0.5+AF11)*BT11</f>
        <v>0</v>
      </c>
      <c r="AI11" s="453">
        <f t="shared" ref="AI11:AI15" si="7">U11*$U$8</f>
        <v>0</v>
      </c>
      <c r="AJ11" s="453">
        <f t="shared" ref="AJ11:AJ15" si="8">V11*$V$8</f>
        <v>0</v>
      </c>
      <c r="AK11" s="453">
        <f t="shared" ref="AK11:AK15" si="9">W11*$W$8</f>
        <v>0</v>
      </c>
      <c r="AL11" s="453">
        <f t="shared" ref="AL11:AL15" si="10">X11*$X$8</f>
        <v>0</v>
      </c>
      <c r="AM11" s="453">
        <f t="shared" ref="AM11:AM15" si="11">Y11*$Y$8</f>
        <v>0</v>
      </c>
      <c r="AN11" s="453">
        <f t="shared" ref="AN11:AN15" si="12">Z11*$Z$8</f>
        <v>0</v>
      </c>
      <c r="AO11" s="453">
        <f t="shared" ref="AO11:AO15" si="13">AA11*$AA$8</f>
        <v>0</v>
      </c>
      <c r="AP11" s="453">
        <f t="shared" ref="AP11:AP15" si="14">AB11*$AB$8</f>
        <v>0</v>
      </c>
      <c r="AQ11" s="453">
        <f t="shared" ref="AQ11:AQ15" si="15">AC11*$AC$8</f>
        <v>0</v>
      </c>
      <c r="AR11" s="453">
        <f t="shared" ref="AR11:AR15" si="16">AD11*$AD$8</f>
        <v>0</v>
      </c>
      <c r="AS11" s="453">
        <f t="shared" ref="AS11:AS15" si="17">AE11*$AE$8</f>
        <v>0</v>
      </c>
      <c r="AT11" s="453">
        <f t="shared" ref="AT11:AT15" si="18">AF11*$AF$8</f>
        <v>0</v>
      </c>
      <c r="AU11" s="453">
        <f t="shared" ref="AU11:AU15" si="19">SUM(AI11:AT11)</f>
        <v>0</v>
      </c>
      <c r="AV11" s="463"/>
      <c r="AW11" s="463"/>
      <c r="AX11" s="3"/>
      <c r="AY11" s="3"/>
      <c r="AZ11" s="143">
        <v>0</v>
      </c>
      <c r="BA11" s="143">
        <v>0</v>
      </c>
      <c r="BB11" s="143">
        <v>0</v>
      </c>
      <c r="BC11" s="143">
        <v>0</v>
      </c>
      <c r="BD11" s="143">
        <v>0</v>
      </c>
      <c r="BE11" s="141">
        <f>IF(AND(BL11&gt;0,BL11&lt;=2700),1,0)</f>
        <v>0</v>
      </c>
      <c r="BF11" s="143">
        <v>0</v>
      </c>
      <c r="BG11" s="143">
        <v>0</v>
      </c>
      <c r="BH11" s="143">
        <v>0</v>
      </c>
      <c r="BI11" s="143">
        <v>0</v>
      </c>
      <c r="BJ11" s="143">
        <v>0</v>
      </c>
      <c r="BK11" s="141">
        <f>IF(AND(BL11&gt;2700,BL11&lt;=BC7),BM11+1,BM11)</f>
        <v>0</v>
      </c>
      <c r="BL11" s="185">
        <f>$N$11-$BC$7*BM11</f>
        <v>0</v>
      </c>
      <c r="BM11" s="141">
        <f>INT($N$11/$BC$7)</f>
        <v>0</v>
      </c>
      <c r="BN11" s="141"/>
      <c r="BO11" s="141"/>
      <c r="BP11" s="188"/>
      <c r="BQ11" s="188"/>
      <c r="BR11" s="188"/>
      <c r="BS11" s="144"/>
      <c r="BT11" s="3">
        <f t="array" ref="BT11">INDEX(Цены!J:J,MATCH(J11&amp;$E$7,Цены!C:C&amp;Цены!G:G,0))</f>
        <v>3483.76</v>
      </c>
      <c r="CE11" s="1" t="s">
        <v>461</v>
      </c>
    </row>
    <row r="12" spans="1:83" ht="25.05" customHeight="1" thickBot="1" x14ac:dyDescent="0.35">
      <c r="B12" s="589" t="s">
        <v>172</v>
      </c>
      <c r="C12" s="590"/>
      <c r="D12" s="590"/>
      <c r="E12" s="580">
        <v>540</v>
      </c>
      <c r="F12" s="581"/>
      <c r="G12" s="581"/>
      <c r="H12" s="582"/>
      <c r="J12" s="22" t="s">
        <v>5</v>
      </c>
      <c r="K12" s="238" t="s">
        <v>192</v>
      </c>
      <c r="L12" s="128">
        <f>IF(E8=BV6,L10,0)</f>
        <v>998</v>
      </c>
      <c r="M12" s="129">
        <f>IF(E8=BV6,1,0)</f>
        <v>1</v>
      </c>
      <c r="N12" s="417">
        <f t="shared" si="4"/>
        <v>998</v>
      </c>
      <c r="O12" s="339">
        <f>CEILING((L12*M12)/5000,1)</f>
        <v>1</v>
      </c>
      <c r="P12" s="269"/>
      <c r="Q12" s="269"/>
      <c r="R12" s="260">
        <f t="shared" si="0"/>
        <v>1892.95</v>
      </c>
      <c r="S12" s="255"/>
      <c r="T12" s="436" t="str">
        <f t="shared" si="2"/>
        <v>накладка декоративная</v>
      </c>
      <c r="U12" s="432">
        <f t="shared" ref="U12:U15" si="20">IF($Z$3=$CE$21,AZ12,IF($Z$3=$CE$27,AZ38,IF($Z$3=$CE$28,AZ51,AZ25)))</f>
        <v>0</v>
      </c>
      <c r="V12" s="432">
        <f t="shared" si="5"/>
        <v>0</v>
      </c>
      <c r="W12" s="432">
        <f t="shared" si="5"/>
        <v>0</v>
      </c>
      <c r="X12" s="432">
        <f t="shared" si="5"/>
        <v>0</v>
      </c>
      <c r="Y12" s="432">
        <f t="shared" si="5"/>
        <v>1</v>
      </c>
      <c r="Z12" s="432">
        <f t="shared" si="5"/>
        <v>0</v>
      </c>
      <c r="AA12" s="432">
        <f t="shared" si="5"/>
        <v>0</v>
      </c>
      <c r="AB12" s="432">
        <f t="shared" si="5"/>
        <v>0</v>
      </c>
      <c r="AC12" s="432">
        <f t="shared" si="5"/>
        <v>0</v>
      </c>
      <c r="AD12" s="432">
        <f t="shared" si="5"/>
        <v>0</v>
      </c>
      <c r="AE12" s="432">
        <f t="shared" si="5"/>
        <v>0</v>
      </c>
      <c r="AF12" s="432">
        <f t="shared" si="5"/>
        <v>0</v>
      </c>
      <c r="AG12" s="417">
        <f t="shared" si="6"/>
        <v>2500</v>
      </c>
      <c r="AH12" s="421">
        <f>(Y12*0.5+AE12)*BT12</f>
        <v>946.47500000000002</v>
      </c>
      <c r="AI12" s="453">
        <f t="shared" si="7"/>
        <v>0</v>
      </c>
      <c r="AJ12" s="453">
        <f t="shared" si="8"/>
        <v>0</v>
      </c>
      <c r="AK12" s="453">
        <f t="shared" si="9"/>
        <v>0</v>
      </c>
      <c r="AL12" s="453">
        <f t="shared" si="10"/>
        <v>0</v>
      </c>
      <c r="AM12" s="453">
        <f t="shared" si="11"/>
        <v>2500</v>
      </c>
      <c r="AN12" s="453">
        <f t="shared" si="12"/>
        <v>0</v>
      </c>
      <c r="AO12" s="453">
        <f t="shared" si="13"/>
        <v>0</v>
      </c>
      <c r="AP12" s="453">
        <f t="shared" si="14"/>
        <v>0</v>
      </c>
      <c r="AQ12" s="453">
        <f t="shared" si="15"/>
        <v>0</v>
      </c>
      <c r="AR12" s="453">
        <f t="shared" si="16"/>
        <v>0</v>
      </c>
      <c r="AS12" s="453">
        <f t="shared" si="17"/>
        <v>0</v>
      </c>
      <c r="AT12" s="453">
        <f t="shared" si="18"/>
        <v>0</v>
      </c>
      <c r="AU12" s="453">
        <f t="shared" si="19"/>
        <v>2500</v>
      </c>
      <c r="AV12" s="453"/>
      <c r="AW12" s="453"/>
      <c r="AX12" s="3"/>
      <c r="AY12" s="3"/>
      <c r="AZ12" s="143">
        <v>0</v>
      </c>
      <c r="BA12" s="143">
        <v>0</v>
      </c>
      <c r="BB12" s="143">
        <v>0</v>
      </c>
      <c r="BC12" s="143">
        <v>0</v>
      </c>
      <c r="BD12" s="141">
        <f>IF(AND(BL12&gt;0,BL12&lt;=2500),1,0)</f>
        <v>1</v>
      </c>
      <c r="BE12" s="143">
        <v>0</v>
      </c>
      <c r="BF12" s="143">
        <v>0</v>
      </c>
      <c r="BG12" s="143">
        <v>0</v>
      </c>
      <c r="BH12" s="143">
        <v>0</v>
      </c>
      <c r="BI12" s="143">
        <v>0</v>
      </c>
      <c r="BJ12" s="141">
        <f>IF(AND(BL12&gt;2500,BL12&lt;=BC6),BM12+1,BM12)</f>
        <v>0</v>
      </c>
      <c r="BK12" s="143">
        <v>0</v>
      </c>
      <c r="BL12" s="185">
        <f>$N$12-$BC$6*BM12</f>
        <v>998</v>
      </c>
      <c r="BM12" s="141">
        <f>INT($N$12/$BC$6)</f>
        <v>0</v>
      </c>
      <c r="BN12" s="141"/>
      <c r="BO12" s="141"/>
      <c r="BP12" s="188"/>
      <c r="BQ12" s="188"/>
      <c r="BR12" s="188"/>
      <c r="BS12" s="144"/>
      <c r="BT12" s="3">
        <f t="array" ref="BT12">INDEX(Цены!J:J,MATCH(J12&amp;$E$7,Цены!C:C&amp;Цены!G:G,0))</f>
        <v>1892.95</v>
      </c>
    </row>
    <row r="13" spans="1:83" ht="25.05" customHeight="1" x14ac:dyDescent="0.3">
      <c r="J13" s="22" t="s">
        <v>3</v>
      </c>
      <c r="K13" s="238" t="s">
        <v>259</v>
      </c>
      <c r="L13" s="128">
        <f>K5-78</f>
        <v>411</v>
      </c>
      <c r="M13" s="129">
        <f>IF(E4=0,0,E9*4)</f>
        <v>4</v>
      </c>
      <c r="N13" s="417">
        <f t="shared" si="4"/>
        <v>1644</v>
      </c>
      <c r="O13" s="422">
        <f>BM13+IF(BL13&gt;0,1,0)</f>
        <v>1</v>
      </c>
      <c r="P13" s="269"/>
      <c r="Q13" s="269"/>
      <c r="R13" s="260">
        <f t="shared" si="0"/>
        <v>3267.15</v>
      </c>
      <c r="S13" s="255"/>
      <c r="T13" s="436" t="str">
        <f t="shared" si="2"/>
        <v>рамка верхняя</v>
      </c>
      <c r="U13" s="432">
        <f t="shared" si="20"/>
        <v>0</v>
      </c>
      <c r="V13" s="432">
        <f t="shared" si="5"/>
        <v>0</v>
      </c>
      <c r="W13" s="432">
        <f t="shared" si="5"/>
        <v>0</v>
      </c>
      <c r="X13" s="432">
        <f t="shared" si="5"/>
        <v>1</v>
      </c>
      <c r="Y13" s="432">
        <f t="shared" si="5"/>
        <v>0</v>
      </c>
      <c r="Z13" s="432">
        <f t="shared" si="5"/>
        <v>0</v>
      </c>
      <c r="AA13" s="432">
        <f t="shared" si="5"/>
        <v>0</v>
      </c>
      <c r="AB13" s="432">
        <f t="shared" si="5"/>
        <v>0</v>
      </c>
      <c r="AC13" s="432">
        <f t="shared" si="5"/>
        <v>0</v>
      </c>
      <c r="AD13" s="432">
        <f t="shared" si="5"/>
        <v>0</v>
      </c>
      <c r="AE13" s="432">
        <f t="shared" si="5"/>
        <v>0</v>
      </c>
      <c r="AF13" s="432">
        <f t="shared" si="5"/>
        <v>0</v>
      </c>
      <c r="AG13" s="417">
        <f t="shared" si="6"/>
        <v>2000</v>
      </c>
      <c r="AH13" s="421">
        <f>(U13*0.2+V13*0.25+X13*0.4+Y13*0.5+AA13*0.6+AC13*0.75+AD13*0.8+AE13)*BT13</f>
        <v>1306.8600000000001</v>
      </c>
      <c r="AI13" s="453">
        <f t="shared" si="7"/>
        <v>0</v>
      </c>
      <c r="AJ13" s="453">
        <f t="shared" si="8"/>
        <v>0</v>
      </c>
      <c r="AK13" s="453">
        <f t="shared" si="9"/>
        <v>0</v>
      </c>
      <c r="AL13" s="453">
        <f t="shared" si="10"/>
        <v>2000</v>
      </c>
      <c r="AM13" s="453">
        <f t="shared" si="11"/>
        <v>0</v>
      </c>
      <c r="AN13" s="453">
        <f t="shared" si="12"/>
        <v>0</v>
      </c>
      <c r="AO13" s="453">
        <f t="shared" si="13"/>
        <v>0</v>
      </c>
      <c r="AP13" s="453">
        <f t="shared" si="14"/>
        <v>0</v>
      </c>
      <c r="AQ13" s="453">
        <f t="shared" si="15"/>
        <v>0</v>
      </c>
      <c r="AR13" s="453">
        <f t="shared" si="16"/>
        <v>0</v>
      </c>
      <c r="AS13" s="453">
        <f t="shared" si="17"/>
        <v>0</v>
      </c>
      <c r="AT13" s="453">
        <f t="shared" si="18"/>
        <v>0</v>
      </c>
      <c r="AU13" s="453">
        <f t="shared" si="19"/>
        <v>2000</v>
      </c>
      <c r="AV13" s="453"/>
      <c r="AW13" s="453"/>
      <c r="AX13" s="363">
        <v>0.47399999999999998</v>
      </c>
      <c r="AY13" s="3">
        <f>AX13*L13*M13/1000</f>
        <v>0.77925599999999995</v>
      </c>
      <c r="AZ13" s="141">
        <f>IF(AND(BL13&gt;0,BL13&lt;=1000),1,0)</f>
        <v>0</v>
      </c>
      <c r="BA13" s="143">
        <v>0</v>
      </c>
      <c r="BB13" s="143">
        <v>0</v>
      </c>
      <c r="BC13" s="141">
        <f>IF(AND(BL13&gt;1000,BL13&lt;=2000),1,0)</f>
        <v>1</v>
      </c>
      <c r="BD13" s="143">
        <v>0</v>
      </c>
      <c r="BE13" s="143">
        <v>0</v>
      </c>
      <c r="BF13" s="141">
        <f>IF(AND(BL13&gt;2000,BL13&lt;=3000),1,0)</f>
        <v>0</v>
      </c>
      <c r="BG13" s="143">
        <v>0</v>
      </c>
      <c r="BH13" s="143">
        <v>0</v>
      </c>
      <c r="BI13" s="141">
        <f>IF(AND(BL13&gt;3000,BL13&lt;=4000),1,0)</f>
        <v>0</v>
      </c>
      <c r="BJ13" s="141">
        <f>IF(AND(BL13&gt;4000,BL13&lt;=BC5),BM13+1,BM13)</f>
        <v>0</v>
      </c>
      <c r="BK13" s="143">
        <v>0</v>
      </c>
      <c r="BL13" s="185">
        <f>N13-INT($BC$5/L13)*L13*BM13</f>
        <v>1644</v>
      </c>
      <c r="BM13" s="141">
        <f>INT(M13/INT($BC$5/L13))</f>
        <v>0</v>
      </c>
      <c r="BN13" s="141"/>
      <c r="BO13" s="141"/>
      <c r="BP13" s="188"/>
      <c r="BQ13" s="188"/>
      <c r="BR13" s="189"/>
      <c r="BS13" s="152"/>
      <c r="BT13" s="3">
        <f t="array" ref="BT13">INDEX(Цены!J:J,MATCH(J13&amp;$E$7,Цены!C:C&amp;Цены!G:G,0))</f>
        <v>3267.15</v>
      </c>
      <c r="BV13" s="8" t="s">
        <v>10</v>
      </c>
    </row>
    <row r="14" spans="1:83" ht="25.05" customHeight="1" thickBot="1" x14ac:dyDescent="0.35">
      <c r="J14" s="132" t="str">
        <f>E6</f>
        <v>рамка средняя 4в1</v>
      </c>
      <c r="K14" s="238" t="str">
        <f>IF(J14=BY5,BZ5,BZ6)</f>
        <v>FA0716.VP500</v>
      </c>
      <c r="L14" s="128">
        <f>IF(AND(E6=BY6,E5&gt;0),K5-78,IF(AND(E6=BY5,E5&gt;0),K5-76,0))</f>
        <v>0</v>
      </c>
      <c r="M14" s="129">
        <f>E5*2*E9</f>
        <v>0</v>
      </c>
      <c r="N14" s="417">
        <f>L14*M14</f>
        <v>0</v>
      </c>
      <c r="O14" s="422">
        <f>IF(J14=BY6,BM14+IF(BL14&gt;0,1,0),BP14+IF(BO14&gt;0,1,0))</f>
        <v>0</v>
      </c>
      <c r="P14" s="269"/>
      <c r="Q14" s="269"/>
      <c r="R14" s="285">
        <f t="shared" si="0"/>
        <v>0</v>
      </c>
      <c r="S14" s="255"/>
      <c r="T14" s="436" t="str">
        <f>J14</f>
        <v>рамка средняя 4в1</v>
      </c>
      <c r="U14" s="432">
        <f t="shared" si="20"/>
        <v>0</v>
      </c>
      <c r="V14" s="432">
        <f t="shared" si="5"/>
        <v>0</v>
      </c>
      <c r="W14" s="432">
        <f t="shared" si="5"/>
        <v>0</v>
      </c>
      <c r="X14" s="432">
        <f t="shared" si="5"/>
        <v>0</v>
      </c>
      <c r="Y14" s="432">
        <f t="shared" si="5"/>
        <v>0</v>
      </c>
      <c r="Z14" s="432">
        <f t="shared" si="5"/>
        <v>0</v>
      </c>
      <c r="AA14" s="432">
        <f t="shared" si="5"/>
        <v>0</v>
      </c>
      <c r="AB14" s="432">
        <f t="shared" si="5"/>
        <v>0</v>
      </c>
      <c r="AC14" s="432">
        <f t="shared" si="5"/>
        <v>0</v>
      </c>
      <c r="AD14" s="432">
        <f t="shared" si="5"/>
        <v>0</v>
      </c>
      <c r="AE14" s="432">
        <f t="shared" si="5"/>
        <v>0</v>
      </c>
      <c r="AF14" s="432">
        <f t="shared" si="5"/>
        <v>0</v>
      </c>
      <c r="AG14" s="417">
        <f t="shared" si="6"/>
        <v>0</v>
      </c>
      <c r="AH14" s="424">
        <f>IF($E$6=$BY$5,AW15,AV15)</f>
        <v>0</v>
      </c>
      <c r="AI14" s="453">
        <f t="shared" si="7"/>
        <v>0</v>
      </c>
      <c r="AJ14" s="453">
        <f t="shared" si="8"/>
        <v>0</v>
      </c>
      <c r="AK14" s="453">
        <f t="shared" si="9"/>
        <v>0</v>
      </c>
      <c r="AL14" s="453">
        <f t="shared" si="10"/>
        <v>0</v>
      </c>
      <c r="AM14" s="453">
        <f t="shared" si="11"/>
        <v>0</v>
      </c>
      <c r="AN14" s="453">
        <f t="shared" si="12"/>
        <v>0</v>
      </c>
      <c r="AO14" s="453">
        <f t="shared" si="13"/>
        <v>0</v>
      </c>
      <c r="AP14" s="453">
        <f t="shared" si="14"/>
        <v>0</v>
      </c>
      <c r="AQ14" s="453">
        <f t="shared" si="15"/>
        <v>0</v>
      </c>
      <c r="AR14" s="453">
        <f t="shared" si="16"/>
        <v>0</v>
      </c>
      <c r="AS14" s="453">
        <f t="shared" si="17"/>
        <v>0</v>
      </c>
      <c r="AT14" s="453">
        <f t="shared" si="18"/>
        <v>0</v>
      </c>
      <c r="AU14" s="453">
        <f t="shared" si="19"/>
        <v>0</v>
      </c>
      <c r="AV14" s="188" t="s">
        <v>266</v>
      </c>
      <c r="AW14" s="189" t="s">
        <v>267</v>
      </c>
      <c r="AX14" s="363">
        <v>0.58499999999999996</v>
      </c>
      <c r="AY14" s="3">
        <f>AX14*L14*M14/1000</f>
        <v>0</v>
      </c>
      <c r="AZ14" s="190">
        <f>IF(AND(J14=BY6,BL14&gt;0,BL14&lt;=1000),1,0)</f>
        <v>0</v>
      </c>
      <c r="BA14" s="143">
        <v>0</v>
      </c>
      <c r="BB14" s="191">
        <f>IF(AND(J14=BY5,BO14&gt;0,BO14&lt;=1800),1,0)</f>
        <v>0</v>
      </c>
      <c r="BC14" s="190">
        <f>IF(AND(J14=BY6,BL14&gt;1000,BL14&lt;=2000),1,0)</f>
        <v>0</v>
      </c>
      <c r="BD14" s="143">
        <v>0</v>
      </c>
      <c r="BE14" s="191">
        <f>IF(AND(J14=BY5,BO14&gt;1800,BO14&lt;=2700),1,0)</f>
        <v>0</v>
      </c>
      <c r="BF14" s="190">
        <f>IF(AND(J14=BY6,BL14&gt;2000,BL14&lt;=3000),1,0)</f>
        <v>0</v>
      </c>
      <c r="BG14" s="191">
        <f>IF(AND(J14=BY5,BO14&gt;2700,BO14&lt;=3600),1,0)</f>
        <v>0</v>
      </c>
      <c r="BH14" s="143">
        <v>0</v>
      </c>
      <c r="BI14" s="190">
        <f>IF(AND(J14=BY6,BL14&gt;3000,BL14&lt;=4000),1,0)</f>
        <v>0</v>
      </c>
      <c r="BJ14" s="190">
        <f>IF(AND(J14=BY6,BL14&gt;4000,BL14&lt;=BC5),BM14+1,BM14)</f>
        <v>0</v>
      </c>
      <c r="BK14" s="191">
        <f>IF(AND(J14=BY5,BO14&gt;3600,BO14&lt;=BC7),BP14+1,BP14)</f>
        <v>0</v>
      </c>
      <c r="BL14" s="185">
        <f>IF(E5&lt;&gt;0,N14-INT(BC5/L14)*L14*BM14,0)</f>
        <v>0</v>
      </c>
      <c r="BM14" s="141">
        <f>IF(AND(E6=BY6,E5&lt;&gt;0),INT(M14/INT(BC5/L14)),0)</f>
        <v>0</v>
      </c>
      <c r="BN14" s="141"/>
      <c r="BO14" s="141">
        <f>IF(E5&lt;&gt;0,N14-INT(BC7/L14)*L14*BP14,0)</f>
        <v>0</v>
      </c>
      <c r="BP14" s="188">
        <f>IF(AND(E6=BY5,E5&lt;&gt;0),INT(M14/INT(BC7/L14)),0)</f>
        <v>0</v>
      </c>
      <c r="BQ14" s="188"/>
      <c r="BR14" s="188"/>
      <c r="BS14" s="144"/>
      <c r="BT14" s="3">
        <f t="array" ref="BT14">INDEX(Цены!J:J,MATCH(J14&amp;$E$7,Цены!C:C&amp;Цены!G:G,0))</f>
        <v>3828.23</v>
      </c>
      <c r="BV14" s="8" t="s">
        <v>11</v>
      </c>
    </row>
    <row r="15" spans="1:83" ht="25.05" customHeight="1" thickBot="1" x14ac:dyDescent="0.4">
      <c r="B15" s="58"/>
      <c r="C15" s="59"/>
      <c r="D15" s="59"/>
      <c r="E15" s="59"/>
      <c r="F15" s="59"/>
      <c r="G15" s="59"/>
      <c r="H15" s="60"/>
      <c r="I15" s="54"/>
      <c r="J15" s="22" t="s">
        <v>17</v>
      </c>
      <c r="K15" s="238" t="s">
        <v>202</v>
      </c>
      <c r="L15" s="128">
        <f>E12</f>
        <v>540</v>
      </c>
      <c r="M15" s="129">
        <f>E9</f>
        <v>1</v>
      </c>
      <c r="N15" s="417">
        <f>L15*M15</f>
        <v>540</v>
      </c>
      <c r="O15" s="422">
        <f>CEILING((L15*M15)/5400,1)</f>
        <v>1</v>
      </c>
      <c r="P15" s="269"/>
      <c r="Q15" s="269"/>
      <c r="R15" s="285">
        <f t="shared" si="0"/>
        <v>1331.09</v>
      </c>
      <c r="S15" s="255"/>
      <c r="T15" s="436" t="str">
        <f>J15</f>
        <v>ручка-рейлинг</v>
      </c>
      <c r="U15" s="432">
        <f t="shared" si="20"/>
        <v>0</v>
      </c>
      <c r="V15" s="432">
        <f t="shared" si="5"/>
        <v>0</v>
      </c>
      <c r="W15" s="432">
        <f t="shared" si="5"/>
        <v>0</v>
      </c>
      <c r="X15" s="432">
        <f t="shared" si="5"/>
        <v>0</v>
      </c>
      <c r="Y15" s="432">
        <f t="shared" si="5"/>
        <v>0</v>
      </c>
      <c r="Z15" s="432">
        <f t="shared" si="5"/>
        <v>1</v>
      </c>
      <c r="AA15" s="432">
        <f t="shared" si="5"/>
        <v>0</v>
      </c>
      <c r="AB15" s="432">
        <f t="shared" si="5"/>
        <v>0</v>
      </c>
      <c r="AC15" s="432">
        <f t="shared" si="5"/>
        <v>0</v>
      </c>
      <c r="AD15" s="432">
        <f t="shared" si="5"/>
        <v>0</v>
      </c>
      <c r="AE15" s="432">
        <f t="shared" si="5"/>
        <v>0</v>
      </c>
      <c r="AF15" s="432">
        <f t="shared" si="5"/>
        <v>0</v>
      </c>
      <c r="AG15" s="417">
        <f t="shared" si="6"/>
        <v>2700</v>
      </c>
      <c r="AH15" s="426">
        <f>(Z15*0.5+AF15)*BT15</f>
        <v>665.54499999999996</v>
      </c>
      <c r="AI15" s="453">
        <f t="shared" si="7"/>
        <v>0</v>
      </c>
      <c r="AJ15" s="453">
        <f t="shared" si="8"/>
        <v>0</v>
      </c>
      <c r="AK15" s="453">
        <f t="shared" si="9"/>
        <v>0</v>
      </c>
      <c r="AL15" s="453">
        <f t="shared" si="10"/>
        <v>0</v>
      </c>
      <c r="AM15" s="453">
        <f t="shared" si="11"/>
        <v>0</v>
      </c>
      <c r="AN15" s="453">
        <f t="shared" si="12"/>
        <v>2700</v>
      </c>
      <c r="AO15" s="453">
        <f t="shared" si="13"/>
        <v>0</v>
      </c>
      <c r="AP15" s="453">
        <f t="shared" si="14"/>
        <v>0</v>
      </c>
      <c r="AQ15" s="453">
        <f t="shared" si="15"/>
        <v>0</v>
      </c>
      <c r="AR15" s="453">
        <f t="shared" si="16"/>
        <v>0</v>
      </c>
      <c r="AS15" s="453">
        <f t="shared" si="17"/>
        <v>0</v>
      </c>
      <c r="AT15" s="453">
        <f t="shared" si="18"/>
        <v>0</v>
      </c>
      <c r="AU15" s="453">
        <f t="shared" si="19"/>
        <v>2700</v>
      </c>
      <c r="AV15" s="256">
        <f>(U14*0.2+V14*0.25+X14*0.4+Y14*0.5+AA14*0.6+AC14*0.75+AD14*0.8+AE14)*BT14</f>
        <v>0</v>
      </c>
      <c r="AW15" s="256">
        <f>(W14*0.34+Z14*0.5+AB14*0.67+AF14)*BT14</f>
        <v>0</v>
      </c>
      <c r="AX15" s="364">
        <v>0.33600000000000002</v>
      </c>
      <c r="AY15" s="3">
        <f>AX15*L14*M14/1000</f>
        <v>0</v>
      </c>
      <c r="AZ15" s="192">
        <v>0</v>
      </c>
      <c r="BA15" s="192">
        <v>0</v>
      </c>
      <c r="BB15" s="192">
        <v>0</v>
      </c>
      <c r="BC15" s="192">
        <v>0</v>
      </c>
      <c r="BD15" s="192">
        <v>0</v>
      </c>
      <c r="BE15" s="141">
        <f>IF(AND(BO15&gt;0,BO15&lt;=2700),1,0)</f>
        <v>1</v>
      </c>
      <c r="BF15" s="192">
        <v>0</v>
      </c>
      <c r="BG15" s="192">
        <v>0</v>
      </c>
      <c r="BH15" s="192">
        <v>0</v>
      </c>
      <c r="BI15" s="192">
        <v>0</v>
      </c>
      <c r="BJ15" s="192">
        <v>0</v>
      </c>
      <c r="BK15" s="141">
        <f>IF(AND(BO15&gt;2700,BO15&lt;=BC7),BP15+1,BP15)</f>
        <v>0</v>
      </c>
      <c r="BL15" s="185"/>
      <c r="BM15" s="141"/>
      <c r="BN15" s="185"/>
      <c r="BO15" s="185">
        <f>$N$15-$BC$7*BM15</f>
        <v>540</v>
      </c>
      <c r="BP15" s="185">
        <f>INT($N$15/$BC$7)</f>
        <v>0</v>
      </c>
      <c r="BQ15" s="185"/>
      <c r="BR15" s="185"/>
      <c r="BS15" s="5"/>
      <c r="BT15" s="3">
        <f t="array" ref="BT15">IFERROR(INDEX(Цены!J:J,MATCH(J15&amp;$E$7,Цены!C:C&amp;Цены!G:G,0)),Цены!J36)</f>
        <v>1331.09</v>
      </c>
      <c r="BV15" s="8" t="s">
        <v>12</v>
      </c>
    </row>
    <row r="16" spans="1:83" ht="25.05" customHeight="1" thickBot="1" x14ac:dyDescent="0.4">
      <c r="B16" s="61" t="s">
        <v>107</v>
      </c>
      <c r="C16" s="62">
        <f>E5+1</f>
        <v>1</v>
      </c>
      <c r="D16" s="97"/>
      <c r="E16" s="98"/>
      <c r="F16" s="98"/>
      <c r="G16" s="98"/>
      <c r="H16" s="64"/>
      <c r="I16" s="76"/>
      <c r="J16" s="264"/>
      <c r="K16" s="265"/>
      <c r="L16" s="265"/>
      <c r="M16" s="265"/>
      <c r="N16" s="265"/>
      <c r="O16" s="266"/>
      <c r="P16" s="271"/>
      <c r="Q16" s="271"/>
      <c r="R16" s="134">
        <f>SUM(R9:R15)</f>
        <v>23129.22</v>
      </c>
      <c r="S16" s="274"/>
      <c r="T16" s="318"/>
      <c r="U16" s="505" t="s">
        <v>103</v>
      </c>
      <c r="V16" s="505"/>
      <c r="W16" s="505"/>
      <c r="X16" s="505"/>
      <c r="Y16" s="505"/>
      <c r="Z16" s="505"/>
      <c r="AA16" s="505"/>
      <c r="AB16" s="505"/>
      <c r="AC16" s="505"/>
      <c r="AD16" s="505"/>
      <c r="AE16" s="505"/>
      <c r="AF16" s="505"/>
      <c r="AG16" s="506"/>
      <c r="AH16" s="134">
        <f>SUM(AH9:AH15)</f>
        <v>16648.875</v>
      </c>
      <c r="AI16" s="464"/>
      <c r="AJ16" s="464"/>
      <c r="AK16" s="464"/>
      <c r="AL16" s="464"/>
      <c r="AM16" s="464"/>
      <c r="AN16" s="464"/>
      <c r="AO16" s="464"/>
      <c r="AP16" s="464"/>
      <c r="AQ16" s="464"/>
      <c r="AR16" s="464"/>
      <c r="AS16" s="464"/>
      <c r="AT16" s="464"/>
      <c r="AU16" s="464"/>
      <c r="AV16" s="464"/>
      <c r="AW16" s="464"/>
      <c r="AX16" s="367">
        <v>0.16900000000000001</v>
      </c>
      <c r="AY16" s="3">
        <f>AX16*L15*M15/1000</f>
        <v>9.1260000000000008E-2</v>
      </c>
      <c r="BL16" s="478" t="s">
        <v>526</v>
      </c>
      <c r="BM16" s="478"/>
      <c r="BN16" s="4"/>
      <c r="BO16" s="477" t="s">
        <v>450</v>
      </c>
      <c r="BP16" s="477"/>
    </row>
    <row r="17" spans="2:83" ht="25.05" customHeight="1" thickBot="1" x14ac:dyDescent="0.35">
      <c r="B17" s="66"/>
      <c r="C17" s="67"/>
      <c r="D17" s="67"/>
      <c r="E17" s="67"/>
      <c r="F17" s="67"/>
      <c r="G17" s="67"/>
      <c r="H17" s="68"/>
      <c r="I17" s="76"/>
      <c r="J17" s="12"/>
      <c r="K17" s="6"/>
      <c r="L17" s="6"/>
      <c r="M17" s="6"/>
      <c r="N17" s="6"/>
      <c r="O17" s="13"/>
      <c r="S17" s="278"/>
      <c r="AY17" s="54">
        <f>IF(E6=BY5,AY9+AY13+AY15+AY16,AY9+AY13+AY14+AY16)</f>
        <v>7.833996</v>
      </c>
      <c r="AZ17" s="438"/>
      <c r="BA17" s="54" t="s">
        <v>522</v>
      </c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CC17" s="1" t="b">
        <v>1</v>
      </c>
    </row>
    <row r="18" spans="2:83" ht="25.05" customHeight="1" thickBot="1" x14ac:dyDescent="0.35">
      <c r="B18" s="66"/>
      <c r="C18" s="67"/>
      <c r="D18" s="67"/>
      <c r="E18" s="67"/>
      <c r="F18" s="67"/>
      <c r="G18" s="67"/>
      <c r="H18" s="68"/>
      <c r="I18" s="76"/>
      <c r="J18" s="12"/>
      <c r="K18" s="6"/>
      <c r="L18" s="6"/>
      <c r="M18" s="6"/>
      <c r="N18" s="6"/>
      <c r="O18" s="13"/>
      <c r="R18" s="327"/>
      <c r="U18" s="6"/>
      <c r="V18" s="6"/>
      <c r="W18" s="6"/>
      <c r="X18" s="6"/>
      <c r="Y18" s="6"/>
      <c r="Z18" s="6"/>
      <c r="AA18" s="6"/>
      <c r="AB18" s="6"/>
      <c r="AC18" s="592" t="s">
        <v>102</v>
      </c>
      <c r="AD18" s="592"/>
      <c r="AE18" s="592"/>
      <c r="AF18" s="592"/>
      <c r="AG18" s="592"/>
      <c r="AH18" s="263">
        <f>AH16+H25+R39</f>
        <v>22027.004999999997</v>
      </c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3"/>
      <c r="AY18" s="289">
        <f>AY17/E9</f>
        <v>7.833996</v>
      </c>
      <c r="AZ18" s="439"/>
      <c r="BA18" s="3" t="s">
        <v>523</v>
      </c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V18" s="1" t="s">
        <v>85</v>
      </c>
    </row>
    <row r="19" spans="2:83" ht="25.05" customHeight="1" x14ac:dyDescent="0.3">
      <c r="B19" s="69" t="s">
        <v>108</v>
      </c>
      <c r="C19" s="328" t="s">
        <v>109</v>
      </c>
      <c r="D19" s="70" t="s">
        <v>78</v>
      </c>
      <c r="E19" s="328" t="s">
        <v>110</v>
      </c>
      <c r="F19" s="328" t="s">
        <v>111</v>
      </c>
      <c r="G19" s="328" t="s">
        <v>127</v>
      </c>
      <c r="H19" s="71" t="s">
        <v>128</v>
      </c>
      <c r="J19" s="12"/>
      <c r="K19" s="6"/>
      <c r="L19" s="6"/>
      <c r="M19" s="6"/>
      <c r="N19" s="6"/>
      <c r="O19" s="13"/>
      <c r="R19" s="327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BE19" s="241" t="s">
        <v>431</v>
      </c>
      <c r="BV19" s="1" t="s">
        <v>86</v>
      </c>
      <c r="CC19" s="1" t="b">
        <v>1</v>
      </c>
    </row>
    <row r="20" spans="2:83" ht="25.05" customHeight="1" thickBot="1" x14ac:dyDescent="0.35">
      <c r="B20" s="72" t="s">
        <v>112</v>
      </c>
      <c r="C20" s="15" t="s">
        <v>12</v>
      </c>
      <c r="D20" s="95">
        <v>0</v>
      </c>
      <c r="E20" s="16">
        <f>K4-IF(E24=0,0,IF(C24=BV13,E24,IF(C24=BV14,E24+2,E24+3)))-IF(E23=0,0,IF(C23=BV13,E23,IF(C23=BV14,E23+2,E23+3)))-IF(E22=0,0,IF(C22=BV13,E22,IF(C22=BV14,E22+2,E22+3)))-IF(E21=0,0,IF(C21=BV13,E21,IF(C21=BV14,E21+2,E21+3)))-44-IF(C20=BV14,2,IF(C20=BV15,3,0))-E5*CA5</f>
        <v>2476</v>
      </c>
      <c r="F20" s="73">
        <f>IF(C20=$BV$15,$K$5-63,IF(C20=$BV$14,$K$5-62,$K$5-60))</f>
        <v>426</v>
      </c>
      <c r="G20" s="74">
        <f>$E$9*2</f>
        <v>2</v>
      </c>
      <c r="H20" s="75">
        <f>E20*F20*D20*G20/1000000</f>
        <v>0</v>
      </c>
      <c r="J20" s="586" t="s">
        <v>181</v>
      </c>
      <c r="K20" s="552"/>
      <c r="L20" s="552"/>
      <c r="M20" s="416"/>
      <c r="N20" s="6"/>
      <c r="O20" s="13"/>
      <c r="R20" s="327"/>
      <c r="U20" s="268"/>
      <c r="V20" s="268"/>
      <c r="W20" s="268"/>
      <c r="X20" s="268"/>
      <c r="Y20" s="268"/>
      <c r="Z20" s="268"/>
      <c r="AA20" s="268"/>
      <c r="AB20" s="268"/>
      <c r="AC20" s="268"/>
      <c r="AD20" s="268"/>
      <c r="AE20" s="268"/>
      <c r="AF20" s="268"/>
      <c r="AG20" s="268"/>
      <c r="AH20" s="268"/>
      <c r="AI20" s="451"/>
      <c r="AJ20" s="451"/>
      <c r="AK20" s="451"/>
      <c r="AL20" s="451"/>
      <c r="AM20" s="451"/>
      <c r="AN20" s="451"/>
      <c r="AO20" s="451"/>
      <c r="AP20" s="451"/>
      <c r="AQ20" s="451"/>
      <c r="AR20" s="451"/>
      <c r="AS20" s="451"/>
      <c r="AT20" s="451"/>
      <c r="AU20" s="451"/>
      <c r="AV20" s="451"/>
      <c r="AW20" s="451"/>
      <c r="AX20" s="6"/>
      <c r="BX20" s="301">
        <f>IF(E20&lt;&gt;0,1,0)</f>
        <v>1</v>
      </c>
    </row>
    <row r="21" spans="2:83" ht="25.05" customHeight="1" x14ac:dyDescent="0.3">
      <c r="B21" s="72" t="s">
        <v>113</v>
      </c>
      <c r="C21" s="15" t="s">
        <v>10</v>
      </c>
      <c r="D21" s="95">
        <v>0</v>
      </c>
      <c r="E21" s="17">
        <v>0</v>
      </c>
      <c r="F21" s="73">
        <f>IF(C21=$BV$15,$K$5-63,IF(C21=$BV$14,$K$5-62,$K$5-60))</f>
        <v>429</v>
      </c>
      <c r="G21" s="74">
        <f>IF(E21&lt;&gt;0,$E$9*2,0)</f>
        <v>0</v>
      </c>
      <c r="H21" s="75">
        <f t="shared" ref="H21:H24" si="21">E21*F21*D21*G21/1000000</f>
        <v>0</v>
      </c>
      <c r="J21" s="548" t="s">
        <v>0</v>
      </c>
      <c r="K21" s="549"/>
      <c r="L21" s="549"/>
      <c r="M21" s="549"/>
      <c r="N21" s="412" t="s">
        <v>1</v>
      </c>
      <c r="O21" s="239" t="s">
        <v>8</v>
      </c>
      <c r="P21" s="140"/>
      <c r="Q21" s="140"/>
      <c r="R21" s="261" t="s">
        <v>24</v>
      </c>
      <c r="S21" s="140"/>
      <c r="T21" s="116"/>
      <c r="U21" s="444"/>
      <c r="V21" s="444"/>
      <c r="W21" s="444"/>
      <c r="X21" s="444"/>
      <c r="Y21" s="444"/>
      <c r="Z21" s="444"/>
      <c r="AA21" s="444"/>
      <c r="AB21" s="444"/>
      <c r="AC21" s="444"/>
      <c r="AD21" s="444"/>
      <c r="AE21" s="444"/>
      <c r="AF21" s="444"/>
      <c r="AG21" s="445"/>
      <c r="AH21" s="303"/>
      <c r="AI21" s="452"/>
      <c r="AJ21" s="452"/>
      <c r="AK21" s="452"/>
      <c r="AL21" s="452"/>
      <c r="AM21" s="452"/>
      <c r="AN21" s="452"/>
      <c r="AO21" s="452"/>
      <c r="AP21" s="452"/>
      <c r="AQ21" s="452"/>
      <c r="AR21" s="452"/>
      <c r="AS21" s="452"/>
      <c r="AT21" s="452"/>
      <c r="AU21" s="452"/>
      <c r="AV21" s="452"/>
      <c r="AW21" s="452"/>
      <c r="AX21" s="6"/>
      <c r="AZ21" s="96">
        <v>1000</v>
      </c>
      <c r="BA21" s="96">
        <v>1250</v>
      </c>
      <c r="BB21" s="96">
        <v>1800</v>
      </c>
      <c r="BC21" s="96">
        <v>2000</v>
      </c>
      <c r="BD21" s="96">
        <v>2500</v>
      </c>
      <c r="BE21" s="96">
        <v>2700</v>
      </c>
      <c r="BF21" s="96">
        <v>3000</v>
      </c>
      <c r="BG21" s="96">
        <v>3600</v>
      </c>
      <c r="BH21" s="96">
        <v>3750</v>
      </c>
      <c r="BI21" s="96">
        <v>4000</v>
      </c>
      <c r="BJ21" s="96">
        <v>5000</v>
      </c>
      <c r="BK21" s="142">
        <v>5400</v>
      </c>
      <c r="BL21" s="187"/>
      <c r="BM21" s="186"/>
      <c r="BN21" s="186"/>
      <c r="BO21" s="186"/>
      <c r="BP21" s="186"/>
      <c r="BQ21" s="186"/>
      <c r="BR21" s="186"/>
      <c r="BS21" s="6"/>
      <c r="BT21" s="6"/>
      <c r="BX21" s="301">
        <f>IF(E21&lt;&gt;0,1,0)</f>
        <v>0</v>
      </c>
      <c r="CE21" s="1" t="s">
        <v>425</v>
      </c>
    </row>
    <row r="22" spans="2:83" ht="25.05" customHeight="1" x14ac:dyDescent="0.3">
      <c r="B22" s="72" t="s">
        <v>114</v>
      </c>
      <c r="C22" s="15" t="s">
        <v>10</v>
      </c>
      <c r="D22" s="95">
        <v>0</v>
      </c>
      <c r="E22" s="17">
        <v>0</v>
      </c>
      <c r="F22" s="73">
        <f>IF(C22=$BV$15,$K$5-63,IF(C22=$BV$14,$K$5-62,$K$5-60))</f>
        <v>429</v>
      </c>
      <c r="G22" s="74">
        <f>IF(E22&lt;&gt;0,$E$9*2,0)</f>
        <v>0</v>
      </c>
      <c r="H22" s="75">
        <f t="shared" si="21"/>
        <v>0</v>
      </c>
      <c r="J22" s="496" t="s">
        <v>66</v>
      </c>
      <c r="K22" s="497"/>
      <c r="L22" s="497"/>
      <c r="M22" s="497"/>
      <c r="N22" s="236" t="s">
        <v>211</v>
      </c>
      <c r="O22" s="232">
        <f>E9</f>
        <v>1</v>
      </c>
      <c r="P22" s="251"/>
      <c r="Q22" s="251"/>
      <c r="R22" s="262">
        <f>O22*Цены!J150</f>
        <v>748.1</v>
      </c>
      <c r="S22" s="243"/>
      <c r="T22" s="309"/>
      <c r="U22" s="274"/>
      <c r="V22" s="274"/>
      <c r="W22" s="274"/>
      <c r="X22" s="274"/>
      <c r="Y22" s="274"/>
      <c r="Z22" s="274"/>
      <c r="AA22" s="274"/>
      <c r="AB22" s="274"/>
      <c r="AC22" s="274"/>
      <c r="AD22" s="274"/>
      <c r="AE22" s="274"/>
      <c r="AF22" s="249"/>
      <c r="AG22" s="274"/>
      <c r="AH22" s="274"/>
      <c r="AI22" s="463"/>
      <c r="AJ22" s="463"/>
      <c r="AK22" s="463"/>
      <c r="AL22" s="463"/>
      <c r="AM22" s="463"/>
      <c r="AN22" s="463"/>
      <c r="AO22" s="463"/>
      <c r="AP22" s="463"/>
      <c r="AQ22" s="463"/>
      <c r="AR22" s="463"/>
      <c r="AS22" s="463"/>
      <c r="AT22" s="463"/>
      <c r="AU22" s="463"/>
      <c r="AV22" s="463"/>
      <c r="AW22" s="463"/>
      <c r="AX22" s="6"/>
      <c r="AZ22" s="141">
        <v>0</v>
      </c>
      <c r="BA22" s="141">
        <v>0</v>
      </c>
      <c r="BB22" s="141">
        <v>0</v>
      </c>
      <c r="BC22" s="141">
        <v>0</v>
      </c>
      <c r="BD22" s="141">
        <v>0</v>
      </c>
      <c r="BE22" s="141">
        <v>0</v>
      </c>
      <c r="BF22" s="141">
        <v>0</v>
      </c>
      <c r="BG22" s="141">
        <v>0</v>
      </c>
      <c r="BH22" s="141">
        <v>0</v>
      </c>
      <c r="BI22" s="141">
        <v>0</v>
      </c>
      <c r="BJ22" s="141">
        <v>0</v>
      </c>
      <c r="BK22" s="316">
        <f>BK9</f>
        <v>2</v>
      </c>
      <c r="BL22" s="141"/>
      <c r="BM22" s="188"/>
      <c r="BN22" s="188"/>
      <c r="BO22" s="188"/>
      <c r="BP22" s="188"/>
      <c r="BQ22" s="188"/>
      <c r="BR22" s="188"/>
      <c r="BS22" s="144"/>
      <c r="BT22" s="144"/>
      <c r="BX22" s="301">
        <f>IF(E22&lt;&gt;0,1,0)</f>
        <v>0</v>
      </c>
      <c r="CE22" s="1" t="s">
        <v>430</v>
      </c>
    </row>
    <row r="23" spans="2:83" ht="25.05" customHeight="1" x14ac:dyDescent="0.3">
      <c r="B23" s="72" t="s">
        <v>115</v>
      </c>
      <c r="C23" s="15" t="s">
        <v>12</v>
      </c>
      <c r="D23" s="95">
        <v>0</v>
      </c>
      <c r="E23" s="17">
        <v>0</v>
      </c>
      <c r="F23" s="73">
        <f>IF(C23=$BV$15,$K$5-63,IF(C23=$BV$14,$K$5-62,$K$5-60))</f>
        <v>426</v>
      </c>
      <c r="G23" s="74">
        <f>IF(E23&lt;&gt;0,$E$9*2,0)</f>
        <v>0</v>
      </c>
      <c r="H23" s="75">
        <f t="shared" si="21"/>
        <v>0</v>
      </c>
      <c r="J23" s="496" t="s">
        <v>58</v>
      </c>
      <c r="K23" s="497"/>
      <c r="L23" s="497"/>
      <c r="M23" s="497"/>
      <c r="N23" s="236" t="s">
        <v>212</v>
      </c>
      <c r="O23" s="232">
        <f>E9</f>
        <v>1</v>
      </c>
      <c r="P23" s="251"/>
      <c r="Q23" s="251"/>
      <c r="R23" s="262">
        <f>O23*Цены!J136</f>
        <v>716</v>
      </c>
      <c r="S23" s="243"/>
      <c r="T23" s="309"/>
      <c r="U23" s="249"/>
      <c r="V23" s="249"/>
      <c r="W23" s="249"/>
      <c r="X23" s="249"/>
      <c r="Y23" s="249"/>
      <c r="Z23" s="249"/>
      <c r="AA23" s="249"/>
      <c r="AB23" s="249"/>
      <c r="AC23" s="249"/>
      <c r="AD23" s="249"/>
      <c r="AE23" s="249"/>
      <c r="AF23" s="249"/>
      <c r="AG23" s="444"/>
      <c r="AH23" s="442"/>
      <c r="AI23" s="453"/>
      <c r="AJ23" s="453"/>
      <c r="AK23" s="453"/>
      <c r="AL23" s="453"/>
      <c r="AM23" s="453"/>
      <c r="AN23" s="453"/>
      <c r="AO23" s="453"/>
      <c r="AP23" s="453"/>
      <c r="AQ23" s="453"/>
      <c r="AR23" s="453"/>
      <c r="AS23" s="453"/>
      <c r="AT23" s="453"/>
      <c r="AU23" s="453"/>
      <c r="AV23" s="453"/>
      <c r="AW23" s="453"/>
      <c r="AX23" s="6"/>
      <c r="AZ23" s="143">
        <v>0</v>
      </c>
      <c r="BA23" s="143">
        <v>0</v>
      </c>
      <c r="BB23" s="143">
        <v>0</v>
      </c>
      <c r="BC23" s="143">
        <v>0</v>
      </c>
      <c r="BD23" s="141">
        <f>IF(AND(BL23&gt;0,BL23&lt;=2500),1,0)</f>
        <v>1</v>
      </c>
      <c r="BE23" s="143">
        <v>0</v>
      </c>
      <c r="BF23" s="143">
        <v>0</v>
      </c>
      <c r="BG23" s="143">
        <v>0</v>
      </c>
      <c r="BH23" s="143">
        <v>0</v>
      </c>
      <c r="BI23" s="143">
        <v>0</v>
      </c>
      <c r="BJ23" s="141">
        <f>IF(AND(BL23&gt;2500,BL23&lt;=BC5),BM23+1,BM23)</f>
        <v>0</v>
      </c>
      <c r="BK23" s="143">
        <v>0</v>
      </c>
      <c r="BL23" s="185">
        <f>BL10</f>
        <v>998</v>
      </c>
      <c r="BM23" s="185">
        <f>BM10</f>
        <v>0</v>
      </c>
      <c r="BN23" s="141"/>
      <c r="BO23" s="141"/>
      <c r="BP23" s="141"/>
      <c r="BQ23" s="141"/>
      <c r="BR23" s="141"/>
      <c r="BS23" s="3"/>
      <c r="BT23" s="3"/>
      <c r="BX23" s="301">
        <f>IF(E23&lt;&gt;0,1,0)</f>
        <v>0</v>
      </c>
      <c r="CE23" s="1" t="s">
        <v>427</v>
      </c>
    </row>
    <row r="24" spans="2:83" ht="25.05" customHeight="1" thickBot="1" x14ac:dyDescent="0.35">
      <c r="B24" s="80" t="s">
        <v>116</v>
      </c>
      <c r="C24" s="15" t="s">
        <v>12</v>
      </c>
      <c r="D24" s="95">
        <v>0</v>
      </c>
      <c r="E24" s="17">
        <v>0</v>
      </c>
      <c r="F24" s="73">
        <f>IF(C24=$BV$15,$K$5-63,IF(C24=$BV$14,$K$5-62,$K$5-60))</f>
        <v>426</v>
      </c>
      <c r="G24" s="74">
        <f>IF(E24&lt;&gt;0,$E$9*2,0)</f>
        <v>0</v>
      </c>
      <c r="H24" s="75">
        <f t="shared" si="21"/>
        <v>0</v>
      </c>
      <c r="J24" s="496" t="s">
        <v>88</v>
      </c>
      <c r="K24" s="497"/>
      <c r="L24" s="497"/>
      <c r="M24" s="497"/>
      <c r="N24" s="236" t="s">
        <v>213</v>
      </c>
      <c r="O24" s="232">
        <f>IF(AND(E9=BV9,E10=BV19),1,IF(E9=BV10,1,0))</f>
        <v>0</v>
      </c>
      <c r="P24" s="251"/>
      <c r="Q24" s="251"/>
      <c r="R24" s="262">
        <f>O24*Цены!J137</f>
        <v>0</v>
      </c>
      <c r="S24" s="243"/>
      <c r="T24" s="309"/>
      <c r="U24" s="249"/>
      <c r="V24" s="249"/>
      <c r="W24" s="249"/>
      <c r="X24" s="249"/>
      <c r="Y24" s="249"/>
      <c r="Z24" s="249"/>
      <c r="AA24" s="249"/>
      <c r="AB24" s="249"/>
      <c r="AC24" s="249"/>
      <c r="AD24" s="249"/>
      <c r="AE24" s="249"/>
      <c r="AF24" s="249"/>
      <c r="AG24" s="444"/>
      <c r="AH24" s="274"/>
      <c r="AI24" s="463"/>
      <c r="AJ24" s="463"/>
      <c r="AK24" s="463"/>
      <c r="AL24" s="463"/>
      <c r="AM24" s="463"/>
      <c r="AN24" s="463"/>
      <c r="AO24" s="463"/>
      <c r="AP24" s="463"/>
      <c r="AQ24" s="463"/>
      <c r="AR24" s="463"/>
      <c r="AS24" s="463"/>
      <c r="AT24" s="463"/>
      <c r="AU24" s="463"/>
      <c r="AV24" s="463"/>
      <c r="AW24" s="463"/>
      <c r="AX24" s="6"/>
      <c r="AZ24" s="143">
        <v>0</v>
      </c>
      <c r="BA24" s="143">
        <v>0</v>
      </c>
      <c r="BB24" s="143">
        <v>0</v>
      </c>
      <c r="BC24" s="143">
        <v>0</v>
      </c>
      <c r="BD24" s="143">
        <v>0</v>
      </c>
      <c r="BE24" s="141">
        <f>IF(AND(BL24&gt;0,BL24&lt;=2700),1,0)</f>
        <v>0</v>
      </c>
      <c r="BF24" s="143">
        <v>0</v>
      </c>
      <c r="BG24" s="143">
        <v>0</v>
      </c>
      <c r="BH24" s="143">
        <v>0</v>
      </c>
      <c r="BI24" s="143">
        <v>0</v>
      </c>
      <c r="BJ24" s="143">
        <v>0</v>
      </c>
      <c r="BK24" s="141">
        <f>IF(AND(BL24&gt;2700,BL24&lt;=BC7),BM24+1,BM24)</f>
        <v>0</v>
      </c>
      <c r="BL24" s="185">
        <f t="shared" ref="BL24:BM26" si="22">BL11</f>
        <v>0</v>
      </c>
      <c r="BM24" s="185">
        <f t="shared" si="22"/>
        <v>0</v>
      </c>
      <c r="BN24" s="141"/>
      <c r="BO24" s="141"/>
      <c r="BP24" s="188"/>
      <c r="BQ24" s="188"/>
      <c r="BR24" s="188"/>
      <c r="BS24" s="144"/>
      <c r="BT24" s="144"/>
      <c r="BX24" s="301">
        <f>IF(E24&lt;&gt;0,1,0)</f>
        <v>0</v>
      </c>
      <c r="CE24" s="1" t="s">
        <v>428</v>
      </c>
    </row>
    <row r="25" spans="2:83" ht="25.05" customHeight="1" thickBot="1" x14ac:dyDescent="0.35">
      <c r="B25" s="66"/>
      <c r="C25" s="99"/>
      <c r="D25" s="67"/>
      <c r="E25" s="503" t="s">
        <v>79</v>
      </c>
      <c r="F25" s="503"/>
      <c r="G25" s="504"/>
      <c r="H25" s="323">
        <f>SUM(H20:H24)</f>
        <v>0</v>
      </c>
      <c r="I25" s="54"/>
      <c r="J25" s="496" t="s">
        <v>87</v>
      </c>
      <c r="K25" s="497"/>
      <c r="L25" s="497"/>
      <c r="M25" s="497"/>
      <c r="N25" s="236" t="s">
        <v>214</v>
      </c>
      <c r="O25" s="232">
        <f>IF(AND(E9=BV9,E10=BV18),1,IF(E9=BV10,1,0))</f>
        <v>1</v>
      </c>
      <c r="P25" s="251"/>
      <c r="Q25" s="251"/>
      <c r="R25" s="262">
        <f>O25*Цены!J137</f>
        <v>487.37</v>
      </c>
      <c r="S25" s="243"/>
      <c r="T25" s="309"/>
      <c r="U25" s="249"/>
      <c r="V25" s="249"/>
      <c r="W25" s="249"/>
      <c r="X25" s="249"/>
      <c r="Y25" s="249"/>
      <c r="Z25" s="249"/>
      <c r="AA25" s="249"/>
      <c r="AB25" s="249"/>
      <c r="AC25" s="249"/>
      <c r="AD25" s="249"/>
      <c r="AE25" s="249"/>
      <c r="AF25" s="249"/>
      <c r="AG25" s="444"/>
      <c r="AH25" s="442"/>
      <c r="AI25" s="453"/>
      <c r="AJ25" s="453"/>
      <c r="AK25" s="453"/>
      <c r="AL25" s="453"/>
      <c r="AM25" s="453"/>
      <c r="AN25" s="453"/>
      <c r="AO25" s="453"/>
      <c r="AP25" s="453"/>
      <c r="AQ25" s="453"/>
      <c r="AR25" s="453"/>
      <c r="AS25" s="453"/>
      <c r="AT25" s="453"/>
      <c r="AU25" s="453"/>
      <c r="AV25" s="453"/>
      <c r="AW25" s="453"/>
      <c r="AX25" s="6"/>
      <c r="AZ25" s="143">
        <v>0</v>
      </c>
      <c r="BA25" s="143">
        <v>0</v>
      </c>
      <c r="BB25" s="143">
        <v>0</v>
      </c>
      <c r="BC25" s="143">
        <v>0</v>
      </c>
      <c r="BD25" s="141">
        <f>IF(AND(BL25&gt;0,BL25&lt;=2500),1,0)</f>
        <v>1</v>
      </c>
      <c r="BE25" s="143">
        <v>0</v>
      </c>
      <c r="BF25" s="143">
        <v>0</v>
      </c>
      <c r="BG25" s="143">
        <v>0</v>
      </c>
      <c r="BH25" s="143">
        <v>0</v>
      </c>
      <c r="BI25" s="143">
        <v>0</v>
      </c>
      <c r="BJ25" s="141">
        <f>IF(AND(BL25&gt;2500,BL25&lt;=BC6),BM25+1,BM25)</f>
        <v>0</v>
      </c>
      <c r="BK25" s="143">
        <v>0</v>
      </c>
      <c r="BL25" s="185">
        <f t="shared" si="22"/>
        <v>998</v>
      </c>
      <c r="BM25" s="185">
        <f t="shared" si="22"/>
        <v>0</v>
      </c>
      <c r="BN25" s="141"/>
      <c r="BO25" s="141"/>
      <c r="BP25" s="188"/>
      <c r="BQ25" s="188"/>
      <c r="BR25" s="188"/>
      <c r="BS25" s="144"/>
      <c r="BT25" s="144"/>
      <c r="CE25" s="1" t="s">
        <v>429</v>
      </c>
    </row>
    <row r="26" spans="2:83" ht="25.05" customHeight="1" x14ac:dyDescent="0.3">
      <c r="B26" s="66"/>
      <c r="C26" s="583" t="str">
        <f>IF((SUM(BX20:BX24)/C16)&lt;&gt;1,BV39,BV40)</f>
        <v>Верно внесены высоты вставок</v>
      </c>
      <c r="D26" s="583"/>
      <c r="E26" s="329">
        <f>IF(C26=BV40,1,0)</f>
        <v>1</v>
      </c>
      <c r="F26" s="329"/>
      <c r="G26" s="329"/>
      <c r="H26" s="68"/>
      <c r="I26" s="54"/>
      <c r="J26" s="496" t="s">
        <v>60</v>
      </c>
      <c r="K26" s="497"/>
      <c r="L26" s="497"/>
      <c r="M26" s="497"/>
      <c r="N26" s="236" t="s">
        <v>215</v>
      </c>
      <c r="O26" s="232">
        <f>E9*2</f>
        <v>2</v>
      </c>
      <c r="P26" s="251"/>
      <c r="Q26" s="251"/>
      <c r="R26" s="262">
        <f>O26*Цены!J143</f>
        <v>1131.2</v>
      </c>
      <c r="S26" s="243"/>
      <c r="T26" s="309"/>
      <c r="U26" s="249"/>
      <c r="V26" s="249"/>
      <c r="W26" s="249"/>
      <c r="X26" s="249"/>
      <c r="Y26" s="249"/>
      <c r="Z26" s="249"/>
      <c r="AA26" s="249"/>
      <c r="AB26" s="249"/>
      <c r="AC26" s="249"/>
      <c r="AD26" s="249"/>
      <c r="AE26" s="249"/>
      <c r="AF26" s="249"/>
      <c r="AG26" s="444"/>
      <c r="AH26" s="442"/>
      <c r="AI26" s="453"/>
      <c r="AJ26" s="453"/>
      <c r="AK26" s="453"/>
      <c r="AL26" s="453"/>
      <c r="AM26" s="453"/>
      <c r="AN26" s="453"/>
      <c r="AO26" s="453"/>
      <c r="AP26" s="453"/>
      <c r="AQ26" s="453"/>
      <c r="AR26" s="453"/>
      <c r="AS26" s="453"/>
      <c r="AT26" s="453"/>
      <c r="AU26" s="453"/>
      <c r="AV26" s="453"/>
      <c r="AW26" s="453"/>
      <c r="AX26" s="6"/>
      <c r="AZ26" s="143">
        <v>0</v>
      </c>
      <c r="BA26" s="141">
        <f>IF(AND(BL26&gt;0,BL26&lt;=1250),1,0)</f>
        <v>0</v>
      </c>
      <c r="BB26" s="143">
        <v>0</v>
      </c>
      <c r="BC26" s="143">
        <v>0</v>
      </c>
      <c r="BD26" s="141">
        <f>IF(AND(BL26&gt;1250,BL26&lt;=2500),1,0)</f>
        <v>1</v>
      </c>
      <c r="BE26" s="143">
        <v>0</v>
      </c>
      <c r="BF26" s="143">
        <v>0</v>
      </c>
      <c r="BG26" s="143">
        <v>0</v>
      </c>
      <c r="BH26" s="141">
        <f>IF(AND(BL26&gt;2500,BL26&lt;=3750),1,0)</f>
        <v>0</v>
      </c>
      <c r="BI26" s="143">
        <v>0</v>
      </c>
      <c r="BJ26" s="141">
        <f>IF(AND(BL26&gt;3750,BL26&lt;=BC5),BM26+1,BM26)</f>
        <v>0</v>
      </c>
      <c r="BK26" s="143">
        <v>0</v>
      </c>
      <c r="BL26" s="185">
        <f t="shared" si="22"/>
        <v>1644</v>
      </c>
      <c r="BM26" s="185">
        <f t="shared" si="22"/>
        <v>0</v>
      </c>
      <c r="BN26" s="141"/>
      <c r="BO26" s="141"/>
      <c r="BP26" s="188"/>
      <c r="BQ26" s="188"/>
      <c r="BR26" s="189"/>
      <c r="BS26" s="152"/>
      <c r="BT26" s="152"/>
      <c r="CE26" s="1" t="s">
        <v>426</v>
      </c>
    </row>
    <row r="27" spans="2:83" ht="25.05" customHeight="1" x14ac:dyDescent="0.3">
      <c r="B27" s="66"/>
      <c r="C27" s="67"/>
      <c r="D27" s="67"/>
      <c r="E27" s="67"/>
      <c r="F27" s="67"/>
      <c r="G27" s="67"/>
      <c r="H27" s="68"/>
      <c r="I27" s="54"/>
      <c r="J27" s="496" t="s">
        <v>71</v>
      </c>
      <c r="K27" s="497"/>
      <c r="L27" s="497"/>
      <c r="M27" s="497"/>
      <c r="N27" s="236" t="s">
        <v>204</v>
      </c>
      <c r="O27" s="284">
        <f>E9</f>
        <v>1</v>
      </c>
      <c r="P27" s="270"/>
      <c r="Q27" s="270"/>
      <c r="R27" s="287">
        <f>O27*Цены!J156</f>
        <v>235.89</v>
      </c>
      <c r="S27" s="273"/>
      <c r="T27" s="309"/>
      <c r="U27" s="249"/>
      <c r="V27" s="249"/>
      <c r="W27" s="249"/>
      <c r="X27" s="249"/>
      <c r="Y27" s="249"/>
      <c r="Z27" s="249"/>
      <c r="AA27" s="249"/>
      <c r="AB27" s="249"/>
      <c r="AC27" s="249"/>
      <c r="AD27" s="249"/>
      <c r="AE27" s="249"/>
      <c r="AF27" s="249"/>
      <c r="AG27" s="444"/>
      <c r="AH27" s="442"/>
      <c r="AI27" s="453"/>
      <c r="AJ27" s="453"/>
      <c r="AK27" s="453"/>
      <c r="AL27" s="453"/>
      <c r="AM27" s="453"/>
      <c r="AN27" s="453"/>
      <c r="AO27" s="453"/>
      <c r="AP27" s="453"/>
      <c r="AQ27" s="453"/>
      <c r="AR27" s="453"/>
      <c r="AS27" s="453"/>
      <c r="AT27" s="453"/>
      <c r="AU27" s="453"/>
      <c r="AV27" s="453"/>
      <c r="AW27" s="453"/>
      <c r="AX27" s="6"/>
      <c r="AZ27" s="143">
        <v>0</v>
      </c>
      <c r="BA27" s="190">
        <f>IF(AND(J14=BY6,BL27&gt;0,BL27&lt;=1250),1,0)</f>
        <v>0</v>
      </c>
      <c r="BB27" s="191">
        <f>IF(AND(J14=BY5,BO27&gt;0,BO27&lt;=1800),1,0)</f>
        <v>0</v>
      </c>
      <c r="BC27" s="143">
        <v>0</v>
      </c>
      <c r="BD27" s="190">
        <f>IF(AND(J14=BY6,BL27&gt;1250,BL27&lt;=2500),1,0)</f>
        <v>0</v>
      </c>
      <c r="BE27" s="191">
        <f>IF(AND(J14=BY5,BO27&gt;1800,BO27&lt;=2700),1,0)</f>
        <v>0</v>
      </c>
      <c r="BF27" s="143">
        <v>0</v>
      </c>
      <c r="BG27" s="191">
        <f>IF(AND(J14=BY5,BO27&gt;2700,BO27&lt;=3600),1,0)</f>
        <v>0</v>
      </c>
      <c r="BH27" s="190">
        <f>IF(AND(J14=BY6,BL27&gt;2500,BL27&lt;=3750),1,0)</f>
        <v>0</v>
      </c>
      <c r="BI27" s="143">
        <v>0</v>
      </c>
      <c r="BJ27" s="190">
        <f>IF(AND(J14=BY6,,BL27&gt;3750,BL27&lt;=BC5),BM27+1,BM27)</f>
        <v>0</v>
      </c>
      <c r="BK27" s="191">
        <f>IF(AND(J14=BY5,BO27&gt;3600,BO27&lt;=BC7),BP27+1,BP27)</f>
        <v>0</v>
      </c>
      <c r="BL27" s="185">
        <f>BL14</f>
        <v>0</v>
      </c>
      <c r="BM27" s="185">
        <f>BM14</f>
        <v>0</v>
      </c>
      <c r="BN27" s="141"/>
      <c r="BO27" s="141">
        <f>BO14</f>
        <v>0</v>
      </c>
      <c r="BP27" s="141">
        <f>BP14</f>
        <v>0</v>
      </c>
      <c r="BQ27" s="188"/>
      <c r="BR27" s="188"/>
      <c r="BS27" s="144"/>
      <c r="BT27" s="144"/>
      <c r="CE27" s="1" t="s">
        <v>527</v>
      </c>
    </row>
    <row r="28" spans="2:83" ht="25.05" customHeight="1" x14ac:dyDescent="0.3">
      <c r="B28" s="66"/>
      <c r="C28" s="84"/>
      <c r="D28" s="84"/>
      <c r="E28" s="85"/>
      <c r="F28" s="85"/>
      <c r="G28" s="6"/>
      <c r="H28" s="68"/>
      <c r="I28" s="54"/>
      <c r="J28" s="496" t="s">
        <v>40</v>
      </c>
      <c r="K28" s="497"/>
      <c r="L28" s="497"/>
      <c r="M28" s="497"/>
      <c r="N28" s="236" t="s">
        <v>207</v>
      </c>
      <c r="O28" s="231">
        <f>IF(E12&lt;500,2*E9,E9*ROUNDDOWN(E12/500+1,0))</f>
        <v>2</v>
      </c>
      <c r="P28" s="250"/>
      <c r="Q28" s="250"/>
      <c r="R28" s="287">
        <f>O28*Цены!J100</f>
        <v>892.74</v>
      </c>
      <c r="S28" s="273"/>
      <c r="T28" s="309"/>
      <c r="U28" s="249"/>
      <c r="V28" s="249"/>
      <c r="W28" s="249"/>
      <c r="X28" s="249"/>
      <c r="Y28" s="249"/>
      <c r="Z28" s="249"/>
      <c r="AA28" s="249"/>
      <c r="AB28" s="249"/>
      <c r="AC28" s="249"/>
      <c r="AD28" s="249"/>
      <c r="AE28" s="249"/>
      <c r="AF28" s="249"/>
      <c r="AG28" s="444"/>
      <c r="AH28" s="442"/>
      <c r="AI28" s="453"/>
      <c r="AJ28" s="453"/>
      <c r="AK28" s="453"/>
      <c r="AL28" s="453"/>
      <c r="AM28" s="453"/>
      <c r="AN28" s="453"/>
      <c r="AO28" s="453"/>
      <c r="AP28" s="453"/>
      <c r="AQ28" s="453"/>
      <c r="AR28" s="453"/>
      <c r="AS28" s="453"/>
      <c r="AT28" s="453"/>
      <c r="AU28" s="453"/>
      <c r="AV28" s="453"/>
      <c r="AW28" s="453"/>
      <c r="AX28" s="6"/>
      <c r="AZ28" s="192">
        <v>0</v>
      </c>
      <c r="BA28" s="192">
        <v>0</v>
      </c>
      <c r="BB28" s="192">
        <v>0</v>
      </c>
      <c r="BC28" s="192">
        <v>0</v>
      </c>
      <c r="BD28" s="192">
        <v>0</v>
      </c>
      <c r="BE28" s="141">
        <f>IF(AND(BO28&gt;0,BO28&lt;=2700),1,0)</f>
        <v>1</v>
      </c>
      <c r="BF28" s="192">
        <v>0</v>
      </c>
      <c r="BG28" s="192">
        <v>0</v>
      </c>
      <c r="BH28" s="192">
        <v>0</v>
      </c>
      <c r="BI28" s="192">
        <v>0</v>
      </c>
      <c r="BJ28" s="192">
        <v>0</v>
      </c>
      <c r="BK28" s="141">
        <f>IF(AND(BO28&gt;2700,BO28&lt;=BC7),BP28+1,BP28)</f>
        <v>0</v>
      </c>
      <c r="BL28" s="185"/>
      <c r="BM28" s="141"/>
      <c r="BN28" s="185"/>
      <c r="BO28" s="141">
        <f>BO15</f>
        <v>540</v>
      </c>
      <c r="BP28" s="141">
        <f>BP15</f>
        <v>0</v>
      </c>
      <c r="BQ28" s="185"/>
      <c r="BR28" s="185"/>
      <c r="BS28" s="5"/>
      <c r="BT28" s="5"/>
      <c r="CE28" s="1" t="s">
        <v>525</v>
      </c>
    </row>
    <row r="29" spans="2:83" ht="25.05" customHeight="1" x14ac:dyDescent="0.3">
      <c r="B29" s="66"/>
      <c r="C29" s="67"/>
      <c r="D29" s="67"/>
      <c r="E29" s="67"/>
      <c r="F29" s="67"/>
      <c r="G29" s="6"/>
      <c r="H29" s="68"/>
      <c r="I29" s="54"/>
      <c r="J29" s="496" t="s">
        <v>44</v>
      </c>
      <c r="K29" s="497"/>
      <c r="L29" s="497"/>
      <c r="M29" s="497"/>
      <c r="N29" s="236" t="s">
        <v>208</v>
      </c>
      <c r="O29" s="284">
        <f>E9</f>
        <v>1</v>
      </c>
      <c r="P29" s="270"/>
      <c r="Q29" s="270"/>
      <c r="R29" s="287">
        <f>O29*Цены!J104</f>
        <v>93.19</v>
      </c>
      <c r="S29" s="273"/>
      <c r="T29" s="310"/>
      <c r="U29" s="447"/>
      <c r="V29" s="447"/>
      <c r="W29" s="447"/>
      <c r="X29" s="447"/>
      <c r="Y29" s="447"/>
      <c r="Z29" s="447"/>
      <c r="AA29" s="447"/>
      <c r="AB29" s="447"/>
      <c r="AC29" s="447"/>
      <c r="AD29" s="447"/>
      <c r="AE29" s="447"/>
      <c r="AF29" s="447"/>
      <c r="AG29" s="447"/>
      <c r="AH29" s="278"/>
      <c r="AI29" s="464"/>
      <c r="AJ29" s="464"/>
      <c r="AK29" s="464"/>
      <c r="AL29" s="464"/>
      <c r="AM29" s="464"/>
      <c r="AN29" s="464"/>
      <c r="AO29" s="464"/>
      <c r="AP29" s="464"/>
      <c r="AQ29" s="464"/>
      <c r="AR29" s="464"/>
      <c r="AS29" s="464"/>
      <c r="AT29" s="464"/>
      <c r="AU29" s="464"/>
      <c r="AV29" s="464"/>
      <c r="AW29" s="464"/>
    </row>
    <row r="30" spans="2:83" ht="25.05" customHeight="1" x14ac:dyDescent="0.3">
      <c r="B30" s="66"/>
      <c r="C30" s="584" t="str">
        <f>IF(AND(SUM(BX20:BX24)/C16=1,E24=0,C16&lt;&gt;1),BV43,BV44)</f>
        <v xml:space="preserve"> </v>
      </c>
      <c r="D30" s="584"/>
      <c r="E30" s="85"/>
      <c r="F30" s="85"/>
      <c r="G30" s="6"/>
      <c r="H30" s="68"/>
      <c r="I30" s="54"/>
      <c r="J30" s="496" t="s">
        <v>228</v>
      </c>
      <c r="K30" s="497"/>
      <c r="L30" s="497"/>
      <c r="M30" s="497"/>
      <c r="N30" s="236" t="s">
        <v>195</v>
      </c>
      <c r="O30" s="231">
        <f>(M13+M14)*2-O31</f>
        <v>6</v>
      </c>
      <c r="P30" s="250"/>
      <c r="Q30" s="250"/>
      <c r="R30" s="287">
        <f>O30*Цены!J184</f>
        <v>62.400000000000006</v>
      </c>
      <c r="S30" s="273"/>
      <c r="AX30" s="6"/>
      <c r="AZ30" s="146"/>
      <c r="BA30" s="146"/>
    </row>
    <row r="31" spans="2:83" ht="25.05" customHeight="1" x14ac:dyDescent="0.3">
      <c r="B31" s="66"/>
      <c r="C31" s="67"/>
      <c r="D31" s="67"/>
      <c r="E31" s="67"/>
      <c r="F31" s="67"/>
      <c r="G31" s="6"/>
      <c r="H31" s="68"/>
      <c r="I31" s="54"/>
      <c r="J31" s="496" t="s">
        <v>229</v>
      </c>
      <c r="K31" s="497"/>
      <c r="L31" s="497"/>
      <c r="M31" s="497"/>
      <c r="N31" s="236" t="s">
        <v>216</v>
      </c>
      <c r="O31" s="339">
        <f>E9*2</f>
        <v>2</v>
      </c>
      <c r="P31" s="249"/>
      <c r="Q31" s="249"/>
      <c r="R31" s="423">
        <f>O31*Цены!J155</f>
        <v>16.66</v>
      </c>
      <c r="S31" s="274"/>
      <c r="T31" s="311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Z31" s="146"/>
      <c r="BA31" s="146"/>
    </row>
    <row r="32" spans="2:83" ht="25.05" customHeight="1" x14ac:dyDescent="0.3">
      <c r="B32" s="66"/>
      <c r="C32" s="67"/>
      <c r="D32" s="67"/>
      <c r="E32" s="67"/>
      <c r="F32" s="67"/>
      <c r="G32" s="6"/>
      <c r="H32" s="68"/>
      <c r="I32" s="54"/>
      <c r="J32" s="496" t="s">
        <v>82</v>
      </c>
      <c r="K32" s="497"/>
      <c r="L32" s="497"/>
      <c r="M32" s="497"/>
      <c r="N32" s="236" t="s">
        <v>262</v>
      </c>
      <c r="O32" s="233">
        <f>ROUNDUP((IF(C20=BV14,(E20+F20)*2*G20,0)+IF(C21=BV14,(E21+F21)*2*G21,0)+IF(C22=BV14,(E22+F22)*2*G22,0)+IF(C23=BV14,(E23+F23)*2*G23,0)+IF(C24=BV14,(E24+F24)*2*G24,0))/1000,0)</f>
        <v>0</v>
      </c>
      <c r="P32" s="252"/>
      <c r="Q32" s="252"/>
      <c r="R32" s="287">
        <f>O32*Цены!J177</f>
        <v>0</v>
      </c>
      <c r="S32" s="273"/>
      <c r="T32" s="310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BE32" s="241" t="s">
        <v>524</v>
      </c>
    </row>
    <row r="33" spans="2:74" ht="25.05" customHeight="1" x14ac:dyDescent="0.35">
      <c r="B33" s="86"/>
      <c r="C33" s="87"/>
      <c r="D33" s="329"/>
      <c r="E33" s="329"/>
      <c r="F33" s="329"/>
      <c r="G33" s="6"/>
      <c r="H33" s="13"/>
      <c r="I33" s="54"/>
      <c r="J33" s="496" t="s">
        <v>84</v>
      </c>
      <c r="K33" s="497"/>
      <c r="L33" s="497"/>
      <c r="M33" s="497"/>
      <c r="N33" s="236" t="s">
        <v>196</v>
      </c>
      <c r="O33" s="233">
        <f>ROUNDUP((IF(C20=BV15,(E20+F20)*2*G20,0)+IF(C21=BV15,(E21+F21)*2*G21,0)+IF(C22=BV15,(E22+F22)*2*G22,0)+IF(C23=BV15,(E23+F23)*2*G23,0)+IF(C24=BV15,(E24+F24)*2*G24,0))/1000,0)</f>
        <v>12</v>
      </c>
      <c r="P33" s="252"/>
      <c r="Q33" s="252"/>
      <c r="R33" s="286">
        <f>O33*Цены!J178</f>
        <v>531.96</v>
      </c>
      <c r="S33" s="274"/>
      <c r="T33" s="311"/>
      <c r="V33" s="322"/>
      <c r="W33" s="322"/>
      <c r="X33" s="322"/>
      <c r="Y33" s="322"/>
      <c r="Z33" s="322"/>
      <c r="AA33" s="322"/>
      <c r="AB33" s="322"/>
      <c r="AI33" s="443"/>
      <c r="AJ33" s="443"/>
      <c r="AK33" s="443"/>
      <c r="AL33" s="443"/>
      <c r="AM33" s="443"/>
      <c r="AN33" s="443"/>
      <c r="AO33" s="443"/>
      <c r="AP33" s="443"/>
      <c r="AQ33" s="443"/>
      <c r="AR33" s="443"/>
      <c r="AS33" s="443"/>
      <c r="AT33" s="443"/>
      <c r="AU33" s="443"/>
      <c r="AV33" s="443"/>
      <c r="AW33" s="443"/>
      <c r="AX33" s="6"/>
      <c r="BV33" s="48">
        <v>0</v>
      </c>
    </row>
    <row r="34" spans="2:74" ht="25.05" customHeight="1" x14ac:dyDescent="0.3">
      <c r="B34" s="12"/>
      <c r="C34" s="6"/>
      <c r="D34" s="6"/>
      <c r="E34" s="6"/>
      <c r="F34" s="6"/>
      <c r="G34" s="6"/>
      <c r="H34" s="13"/>
      <c r="I34" s="54"/>
      <c r="J34" s="496" t="s">
        <v>56</v>
      </c>
      <c r="K34" s="497"/>
      <c r="L34" s="497"/>
      <c r="M34" s="497"/>
      <c r="N34" s="127" t="s">
        <v>198</v>
      </c>
      <c r="O34" s="422">
        <f>IF(K5&gt;0,M13+M14,0)</f>
        <v>4</v>
      </c>
      <c r="P34" s="249"/>
      <c r="Q34" s="249"/>
      <c r="R34" s="286">
        <f>O34*Цены!J132</f>
        <v>56.24</v>
      </c>
      <c r="S34" s="274"/>
      <c r="T34" s="311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Z34" s="96">
        <v>1000</v>
      </c>
      <c r="BA34" s="96">
        <v>1250</v>
      </c>
      <c r="BB34" s="96">
        <v>1800</v>
      </c>
      <c r="BC34" s="96">
        <v>2000</v>
      </c>
      <c r="BD34" s="96">
        <v>2500</v>
      </c>
      <c r="BE34" s="96">
        <v>2700</v>
      </c>
      <c r="BF34" s="96">
        <v>3000</v>
      </c>
      <c r="BG34" s="96">
        <v>3600</v>
      </c>
      <c r="BH34" s="96">
        <v>3750</v>
      </c>
      <c r="BI34" s="96">
        <v>4000</v>
      </c>
      <c r="BJ34" s="96">
        <v>5000</v>
      </c>
      <c r="BK34" s="142">
        <v>5400</v>
      </c>
      <c r="BL34" s="187"/>
      <c r="BM34" s="186"/>
      <c r="BN34" s="186"/>
      <c r="BO34" s="186"/>
      <c r="BP34" s="186"/>
      <c r="BQ34" s="186"/>
      <c r="BR34" s="186"/>
      <c r="BV34" s="48">
        <v>1</v>
      </c>
    </row>
    <row r="35" spans="2:74" ht="25.05" customHeight="1" x14ac:dyDescent="0.35">
      <c r="B35" s="86"/>
      <c r="C35" s="87"/>
      <c r="D35" s="329"/>
      <c r="E35" s="329"/>
      <c r="F35" s="329"/>
      <c r="G35" s="329"/>
      <c r="H35" s="64"/>
      <c r="I35" s="54"/>
      <c r="J35" s="496" t="s">
        <v>76</v>
      </c>
      <c r="K35" s="497"/>
      <c r="L35" s="497"/>
      <c r="M35" s="497"/>
      <c r="N35" s="236" t="s">
        <v>199</v>
      </c>
      <c r="O35" s="234">
        <f>IF(E11=BV50,ROUNDUP(K4*2/1000,0),0)+IF(AND(E9=BV10,E11=BV50),ROUNDUP(K4*2/1000,0),0)</f>
        <v>0</v>
      </c>
      <c r="P35" s="253"/>
      <c r="Q35" s="253"/>
      <c r="R35" s="286">
        <f>O35*Цены!J161</f>
        <v>0</v>
      </c>
      <c r="S35" s="274"/>
      <c r="T35" s="311"/>
      <c r="AX35" s="6"/>
      <c r="AZ35" s="141">
        <v>0</v>
      </c>
      <c r="BA35" s="141">
        <v>0</v>
      </c>
      <c r="BB35" s="141">
        <v>0</v>
      </c>
      <c r="BC35" s="141">
        <v>0</v>
      </c>
      <c r="BD35" s="141">
        <v>0</v>
      </c>
      <c r="BE35" s="141">
        <v>0</v>
      </c>
      <c r="BF35" s="141">
        <v>0</v>
      </c>
      <c r="BG35" s="141">
        <v>0</v>
      </c>
      <c r="BH35" s="141">
        <v>0</v>
      </c>
      <c r="BI35" s="141">
        <v>0</v>
      </c>
      <c r="BJ35" s="141">
        <v>0</v>
      </c>
      <c r="BK35" s="316">
        <f>BK22</f>
        <v>2</v>
      </c>
      <c r="BL35" s="141"/>
      <c r="BM35" s="188"/>
      <c r="BN35" s="188"/>
      <c r="BO35" s="188"/>
      <c r="BP35" s="188"/>
      <c r="BQ35" s="188"/>
      <c r="BR35" s="188"/>
      <c r="BV35" s="48">
        <v>2</v>
      </c>
    </row>
    <row r="36" spans="2:74" ht="25.05" customHeight="1" x14ac:dyDescent="0.35">
      <c r="B36" s="86"/>
      <c r="C36" s="87"/>
      <c r="D36" s="329"/>
      <c r="E36" s="329"/>
      <c r="F36" s="329"/>
      <c r="G36" s="329"/>
      <c r="H36" s="64"/>
      <c r="I36" s="54"/>
      <c r="J36" s="490" t="s">
        <v>129</v>
      </c>
      <c r="K36" s="491"/>
      <c r="L36" s="491"/>
      <c r="M36" s="491"/>
      <c r="N36" s="236" t="str">
        <f>IF(OR(E7=Цены!G7,E7=Цены!G10),Складная!AY62,Складная!AY63)</f>
        <v>AA0996.VM100</v>
      </c>
      <c r="O36" s="234">
        <f>IF(E11=BV49,ROUNDUP(K4*2/1000,0),0)+IF(AND(E9=BV10,E11=BV49),ROUNDUP(K4*2/1000,0),0)</f>
        <v>6</v>
      </c>
      <c r="P36" s="253"/>
      <c r="Q36" s="253"/>
      <c r="R36" s="262">
        <f>IF(N36=AY62,O36*Цены!J180,O36*Цены!K165)</f>
        <v>200.82</v>
      </c>
      <c r="S36" s="243"/>
      <c r="T36" s="309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Z36" s="143">
        <v>0</v>
      </c>
      <c r="BA36" s="143">
        <v>0</v>
      </c>
      <c r="BB36" s="143">
        <v>0</v>
      </c>
      <c r="BC36" s="143">
        <v>0</v>
      </c>
      <c r="BD36" s="141">
        <f>IF(AND(BL36&gt;0,BL36&lt;=2500),1,0)</f>
        <v>1</v>
      </c>
      <c r="BE36" s="143">
        <v>0</v>
      </c>
      <c r="BF36" s="143">
        <v>0</v>
      </c>
      <c r="BG36" s="143">
        <v>0</v>
      </c>
      <c r="BH36" s="143">
        <v>0</v>
      </c>
      <c r="BI36" s="143">
        <v>0</v>
      </c>
      <c r="BJ36" s="141">
        <f>IF(AND(BL36&gt;2500,BL36&lt;=5000),BM36+1,BM36)</f>
        <v>0</v>
      </c>
      <c r="BK36" s="143">
        <v>0</v>
      </c>
      <c r="BL36" s="185">
        <f>BL23</f>
        <v>998</v>
      </c>
      <c r="BM36" s="185">
        <f>BM23</f>
        <v>0</v>
      </c>
      <c r="BN36" s="141"/>
      <c r="BO36" s="141"/>
      <c r="BP36" s="141"/>
      <c r="BQ36" s="141"/>
      <c r="BR36" s="141"/>
      <c r="BV36" s="48">
        <v>3</v>
      </c>
    </row>
    <row r="37" spans="2:74" ht="25.05" customHeight="1" x14ac:dyDescent="0.35">
      <c r="B37" s="86"/>
      <c r="C37" s="87"/>
      <c r="D37" s="329"/>
      <c r="E37" s="329"/>
      <c r="F37" s="329"/>
      <c r="G37" s="329"/>
      <c r="H37" s="64"/>
      <c r="I37" s="54"/>
      <c r="J37" s="490" t="s">
        <v>161</v>
      </c>
      <c r="K37" s="491"/>
      <c r="L37" s="491"/>
      <c r="M37" s="491"/>
      <c r="N37" s="294" t="s">
        <v>201</v>
      </c>
      <c r="O37" s="232">
        <f>M9</f>
        <v>4</v>
      </c>
      <c r="P37" s="251"/>
      <c r="Q37" s="251"/>
      <c r="R37" s="262">
        <f>O37*Цены!J176</f>
        <v>71.84</v>
      </c>
      <c r="S37" s="243"/>
      <c r="T37" s="309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54" t="s">
        <v>271</v>
      </c>
      <c r="AZ37" s="143">
        <v>0</v>
      </c>
      <c r="BA37" s="143">
        <v>0</v>
      </c>
      <c r="BB37" s="143">
        <v>0</v>
      </c>
      <c r="BC37" s="143">
        <v>0</v>
      </c>
      <c r="BD37" s="143">
        <v>0</v>
      </c>
      <c r="BE37" s="141">
        <f>IF(AND(BL37&gt;0,BL37&lt;=2700),1,0)</f>
        <v>0</v>
      </c>
      <c r="BF37" s="143">
        <v>0</v>
      </c>
      <c r="BG37" s="143">
        <v>0</v>
      </c>
      <c r="BH37" s="143">
        <v>0</v>
      </c>
      <c r="BI37" s="143">
        <v>0</v>
      </c>
      <c r="BJ37" s="143">
        <v>0</v>
      </c>
      <c r="BK37" s="141">
        <f>IF(AND(BL37&gt;2700,BL37&lt;=5400),BM37+1,BM37)</f>
        <v>0</v>
      </c>
      <c r="BL37" s="185">
        <f t="shared" ref="BL37:BM37" si="23">BL24</f>
        <v>0</v>
      </c>
      <c r="BM37" s="185">
        <f t="shared" si="23"/>
        <v>0</v>
      </c>
      <c r="BN37" s="141"/>
      <c r="BO37" s="141"/>
      <c r="BP37" s="188"/>
      <c r="BQ37" s="188"/>
      <c r="BR37" s="188"/>
      <c r="BV37" s="48">
        <v>4</v>
      </c>
    </row>
    <row r="38" spans="2:74" ht="25.05" customHeight="1" thickBot="1" x14ac:dyDescent="0.4">
      <c r="B38" s="86"/>
      <c r="C38" s="87"/>
      <c r="D38" s="329"/>
      <c r="E38" s="329"/>
      <c r="F38" s="329"/>
      <c r="G38" s="329"/>
      <c r="H38" s="64"/>
      <c r="I38" s="54"/>
      <c r="J38" s="568" t="s">
        <v>74</v>
      </c>
      <c r="K38" s="569"/>
      <c r="L38" s="569"/>
      <c r="M38" s="569"/>
      <c r="N38" s="465" t="s">
        <v>233</v>
      </c>
      <c r="O38" s="435">
        <f>E9</f>
        <v>1</v>
      </c>
      <c r="P38" s="249"/>
      <c r="Q38" s="249"/>
      <c r="R38" s="434">
        <f>O38*Цены!J158</f>
        <v>133.72</v>
      </c>
      <c r="S38" s="274"/>
      <c r="T38" s="311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146">
        <f>IF(C20=$BV$13,(F20*E20/1000000)*8,IF(C20=$BV$14,(F20*E20/1000000)*6.5,(F20*E20/1000000)*11))</f>
        <v>11.602535999999999</v>
      </c>
      <c r="AZ38" s="143">
        <v>0</v>
      </c>
      <c r="BA38" s="143">
        <v>0</v>
      </c>
      <c r="BB38" s="143">
        <v>0</v>
      </c>
      <c r="BC38" s="143">
        <v>0</v>
      </c>
      <c r="BD38" s="141">
        <f>IF(AND(BL38&gt;0,BL38&lt;=2500),1,0)</f>
        <v>1</v>
      </c>
      <c r="BE38" s="143">
        <v>0</v>
      </c>
      <c r="BF38" s="143">
        <v>0</v>
      </c>
      <c r="BG38" s="143">
        <v>0</v>
      </c>
      <c r="BH38" s="143">
        <v>0</v>
      </c>
      <c r="BI38" s="143">
        <v>0</v>
      </c>
      <c r="BJ38" s="141">
        <f>IF(AND(BL38&gt;2500,BL38&lt;=5000),BM38+1,BM38)</f>
        <v>0</v>
      </c>
      <c r="BK38" s="143">
        <v>0</v>
      </c>
      <c r="BL38" s="185">
        <f t="shared" ref="BL38:BM38" si="24">BL25</f>
        <v>998</v>
      </c>
      <c r="BM38" s="185">
        <f t="shared" si="24"/>
        <v>0</v>
      </c>
      <c r="BN38" s="141"/>
      <c r="BO38" s="141"/>
      <c r="BP38" s="188"/>
      <c r="BQ38" s="188"/>
      <c r="BR38" s="188"/>
    </row>
    <row r="39" spans="2:74" ht="25.05" customHeight="1" thickBot="1" x14ac:dyDescent="0.35">
      <c r="B39" s="12"/>
      <c r="C39" s="6"/>
      <c r="D39" s="6"/>
      <c r="E39" s="6"/>
      <c r="F39" s="6"/>
      <c r="G39" s="6"/>
      <c r="H39" s="13"/>
      <c r="J39" s="14"/>
      <c r="K39" s="151"/>
      <c r="L39" s="151"/>
      <c r="M39" s="151"/>
      <c r="N39" s="151"/>
      <c r="O39" s="137"/>
      <c r="R39" s="136">
        <f>SUM(R22:R38)</f>
        <v>5378.1299999999992</v>
      </c>
      <c r="S39" s="102"/>
      <c r="T39" s="312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146">
        <f>IF(C21=$BV$13,(F21*E21/1000000)*8,IF(C21=$BV$14,(F21*E21/1000000)*6.5,(F21*E21/1000000)*11))</f>
        <v>0</v>
      </c>
      <c r="AZ39" s="143">
        <v>0</v>
      </c>
      <c r="BA39" s="143">
        <v>0</v>
      </c>
      <c r="BB39" s="143">
        <v>0</v>
      </c>
      <c r="BC39" s="143">
        <v>0</v>
      </c>
      <c r="BD39" s="141">
        <f>IF(AND(BL39&gt;1250,BL39&lt;=2500),1,0)</f>
        <v>1</v>
      </c>
      <c r="BE39" s="143">
        <v>0</v>
      </c>
      <c r="BF39" s="143">
        <v>0</v>
      </c>
      <c r="BG39" s="143">
        <v>0</v>
      </c>
      <c r="BH39" s="143">
        <v>0</v>
      </c>
      <c r="BI39" s="143">
        <v>0</v>
      </c>
      <c r="BJ39" s="141">
        <f>IF(AND(BL39&gt;3750,BL39&lt;=5000),BM39+1,BM39)</f>
        <v>0</v>
      </c>
      <c r="BK39" s="143">
        <v>0</v>
      </c>
      <c r="BL39" s="185">
        <f t="shared" ref="BL39:BM39" si="25">BL26</f>
        <v>1644</v>
      </c>
      <c r="BM39" s="185">
        <f t="shared" si="25"/>
        <v>0</v>
      </c>
      <c r="BN39" s="141"/>
      <c r="BO39" s="141"/>
      <c r="BP39" s="188"/>
      <c r="BQ39" s="188"/>
      <c r="BR39" s="189"/>
      <c r="BV39" s="79" t="s">
        <v>118</v>
      </c>
    </row>
    <row r="40" spans="2:74" ht="25.05" customHeight="1" thickBot="1" x14ac:dyDescent="0.35">
      <c r="B40" s="12"/>
      <c r="C40" s="6"/>
      <c r="D40" s="6"/>
      <c r="E40" s="6"/>
      <c r="F40" s="6"/>
      <c r="G40" s="325" t="s">
        <v>268</v>
      </c>
      <c r="H40" s="148">
        <f>ROUNDUP((AY18+AY43)*1.1,0)</f>
        <v>35</v>
      </c>
      <c r="J40" s="6"/>
      <c r="K40" s="6"/>
      <c r="L40" s="6"/>
      <c r="M40" s="6"/>
      <c r="N40" s="6"/>
      <c r="O40" s="6"/>
      <c r="Q40" s="567" t="s">
        <v>432</v>
      </c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146">
        <f>IF(C22=$BV$13,(F22*E22/1000000)*8,IF(C22=$BV$14,(F22*E22/1000000)*6.5,(F22*E22/1000000)*11))</f>
        <v>0</v>
      </c>
      <c r="AZ40" s="143">
        <v>0</v>
      </c>
      <c r="BA40" s="143">
        <v>0</v>
      </c>
      <c r="BB40" s="143">
        <v>0</v>
      </c>
      <c r="BC40" s="143">
        <v>0</v>
      </c>
      <c r="BD40" s="190">
        <f>IF(AND(J14=BY6,BL40&gt;0,BL40&lt;=2500),1,0)</f>
        <v>0</v>
      </c>
      <c r="BE40" s="191">
        <f>IF(AND(J14=BY5,BO40&gt;0,BO40&lt;=2700),1,0)</f>
        <v>0</v>
      </c>
      <c r="BF40" s="143">
        <v>0</v>
      </c>
      <c r="BG40" s="143">
        <v>0</v>
      </c>
      <c r="BH40" s="143">
        <v>0</v>
      </c>
      <c r="BI40" s="143">
        <v>0</v>
      </c>
      <c r="BJ40" s="190">
        <f>IF(AND(J14=BY6,BL40&gt;2500,BL40&lt;=4950),BM40+1,BM40)</f>
        <v>0</v>
      </c>
      <c r="BK40" s="191">
        <f>IF(AND(J14=BY5,BO40&gt;2700,BO40&lt;=5350),BP40+1,BP40)</f>
        <v>0</v>
      </c>
      <c r="BL40" s="185">
        <f>BL27</f>
        <v>0</v>
      </c>
      <c r="BM40" s="185">
        <f>BM27</f>
        <v>0</v>
      </c>
      <c r="BN40" s="141"/>
      <c r="BO40" s="141">
        <f>BO27</f>
        <v>0</v>
      </c>
      <c r="BP40" s="141">
        <f>BP27</f>
        <v>0</v>
      </c>
      <c r="BQ40" s="188"/>
      <c r="BR40" s="188"/>
      <c r="BV40" s="79" t="s">
        <v>119</v>
      </c>
    </row>
    <row r="41" spans="2:74" ht="25.05" customHeight="1" thickBot="1" x14ac:dyDescent="0.35">
      <c r="B41" s="14"/>
      <c r="C41" s="151"/>
      <c r="D41" s="151"/>
      <c r="E41" s="151"/>
      <c r="F41" s="151"/>
      <c r="G41" s="151"/>
      <c r="H41" s="137"/>
      <c r="J41" s="6"/>
      <c r="K41" s="6"/>
      <c r="L41" s="479" t="s">
        <v>528</v>
      </c>
      <c r="M41" s="479"/>
      <c r="N41" s="479"/>
      <c r="O41" s="479"/>
      <c r="Q41" s="567"/>
      <c r="R41" s="282">
        <f>R16+R39+H25</f>
        <v>28507.35</v>
      </c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146">
        <f>IF(C23=$BV$13,(F23*E23/1000000)*8,IF(C23=$BV$14,(F23*E23/1000000)*6.5,(F23*E23/1000000)*11))</f>
        <v>0</v>
      </c>
      <c r="AZ41" s="192">
        <v>0</v>
      </c>
      <c r="BA41" s="192">
        <v>0</v>
      </c>
      <c r="BB41" s="192">
        <v>0</v>
      </c>
      <c r="BC41" s="192">
        <v>0</v>
      </c>
      <c r="BD41" s="192">
        <v>0</v>
      </c>
      <c r="BE41" s="141">
        <f>IF(AND(BO41&gt;0,BO41&lt;=2700),1,0)</f>
        <v>1</v>
      </c>
      <c r="BF41" s="192">
        <v>0</v>
      </c>
      <c r="BG41" s="192">
        <v>0</v>
      </c>
      <c r="BH41" s="192">
        <v>0</v>
      </c>
      <c r="BI41" s="192">
        <v>0</v>
      </c>
      <c r="BJ41" s="192">
        <v>0</v>
      </c>
      <c r="BK41" s="141">
        <f>IF(AND(BO41&gt;2700,BO41&lt;=5400),BP41+1,BP41)</f>
        <v>0</v>
      </c>
      <c r="BL41" s="185"/>
      <c r="BM41" s="141"/>
      <c r="BN41" s="185"/>
      <c r="BO41" s="141">
        <f>BO28</f>
        <v>540</v>
      </c>
      <c r="BP41" s="141">
        <f>BP28</f>
        <v>0</v>
      </c>
      <c r="BQ41" s="185"/>
      <c r="BR41" s="185"/>
    </row>
    <row r="42" spans="2:74" ht="16.2" thickBot="1" x14ac:dyDescent="0.35">
      <c r="J42" s="6"/>
      <c r="K42" s="6"/>
      <c r="L42" s="6"/>
      <c r="M42" s="6"/>
      <c r="N42" s="6"/>
      <c r="O42" s="6"/>
      <c r="R42" s="280"/>
      <c r="S42" s="324"/>
      <c r="T42" s="324"/>
      <c r="U42" s="20"/>
      <c r="V42" s="20"/>
      <c r="W42" s="20"/>
      <c r="X42" s="20"/>
      <c r="Y42" s="20"/>
      <c r="Z42" s="20"/>
      <c r="AA42" s="19"/>
      <c r="AB42" s="19"/>
      <c r="AC42" s="19"/>
      <c r="AD42" s="18"/>
      <c r="AE42" s="324"/>
      <c r="AF42" s="324"/>
      <c r="AG42" s="324"/>
      <c r="AH42" s="324"/>
      <c r="AI42" s="416"/>
      <c r="AJ42" s="416"/>
      <c r="AK42" s="416"/>
      <c r="AL42" s="416"/>
      <c r="AM42" s="416"/>
      <c r="AN42" s="416"/>
      <c r="AO42" s="416"/>
      <c r="AP42" s="416"/>
      <c r="AQ42" s="416"/>
      <c r="AR42" s="416"/>
      <c r="AS42" s="416"/>
      <c r="AT42" s="416"/>
      <c r="AU42" s="416"/>
      <c r="AV42" s="416"/>
      <c r="AW42" s="416"/>
      <c r="AX42" s="6"/>
      <c r="AY42" s="146">
        <f>IF(C24=$BV$13,(F24*E24/1000000)*8,IF(C24=$BV$14,(F24*E24/1000000)*6.5,(F24*E24/1000000)*11))</f>
        <v>0</v>
      </c>
    </row>
    <row r="43" spans="2:74" ht="18.600000000000001" thickBot="1" x14ac:dyDescent="0.4">
      <c r="J43" s="6"/>
      <c r="K43" s="6"/>
      <c r="L43" s="6"/>
      <c r="M43" s="6"/>
      <c r="N43" s="6"/>
      <c r="O43" s="6"/>
      <c r="R43" s="9"/>
      <c r="S43" s="9"/>
      <c r="T43" s="313"/>
      <c r="U43" s="20"/>
      <c r="V43" s="20"/>
      <c r="W43" s="20"/>
      <c r="X43" s="20"/>
      <c r="Y43" s="20"/>
      <c r="Z43" s="20"/>
      <c r="AA43" s="19"/>
      <c r="AB43" s="19"/>
      <c r="AC43" s="19"/>
      <c r="AD43" s="18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Y43" s="290">
        <f>SUM(AY38:AY42)*2</f>
        <v>23.205071999999998</v>
      </c>
      <c r="BV43" s="90" t="s">
        <v>126</v>
      </c>
    </row>
    <row r="44" spans="2:74" x14ac:dyDescent="0.3">
      <c r="J44" s="6"/>
      <c r="K44" s="6"/>
      <c r="L44" s="6"/>
      <c r="M44" s="6"/>
      <c r="N44" s="6"/>
      <c r="O44" s="6"/>
      <c r="R44" s="281"/>
      <c r="S44" s="18"/>
      <c r="T44" s="314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BV44" s="1" t="s">
        <v>94</v>
      </c>
    </row>
    <row r="45" spans="2:74" ht="25.05" customHeight="1" x14ac:dyDescent="0.3">
      <c r="J45" s="5"/>
      <c r="K45" s="100"/>
      <c r="L45" s="19"/>
      <c r="M45" s="19"/>
      <c r="N45" s="101"/>
      <c r="O45" s="77"/>
      <c r="P45" s="77"/>
      <c r="Q45" s="77"/>
      <c r="R45" s="281"/>
      <c r="S45" s="18"/>
      <c r="T45" s="314"/>
      <c r="U45" s="18"/>
      <c r="V45" s="18"/>
      <c r="W45" s="18"/>
      <c r="X45" s="18"/>
      <c r="Y45" s="18"/>
      <c r="Z45" s="18"/>
      <c r="AA45" s="5"/>
      <c r="AB45" s="5"/>
      <c r="AC45" s="5"/>
      <c r="AD45" s="5"/>
      <c r="AE45" s="18"/>
      <c r="AF45" s="18"/>
      <c r="AG45" s="18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BE45" s="241" t="s">
        <v>525</v>
      </c>
    </row>
    <row r="46" spans="2:74" ht="25.05" customHeight="1" x14ac:dyDescent="0.3">
      <c r="J46" s="5"/>
      <c r="K46" s="100"/>
      <c r="L46" s="19"/>
      <c r="M46" s="19"/>
      <c r="N46" s="101"/>
      <c r="O46" s="77"/>
      <c r="P46" s="77"/>
      <c r="Q46" s="77"/>
      <c r="R46" s="281"/>
      <c r="S46" s="18"/>
      <c r="T46" s="314"/>
      <c r="U46" s="18"/>
      <c r="V46" s="18"/>
      <c r="W46" s="18"/>
      <c r="X46" s="18"/>
      <c r="Y46" s="18"/>
      <c r="Z46" s="18"/>
      <c r="AA46" s="5"/>
      <c r="AB46" s="5"/>
      <c r="AC46" s="5"/>
      <c r="AD46" s="5"/>
      <c r="AE46" s="18"/>
      <c r="AF46" s="18"/>
      <c r="AG46" s="18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</row>
    <row r="47" spans="2:74" ht="25.05" customHeight="1" x14ac:dyDescent="0.3">
      <c r="J47" s="5"/>
      <c r="K47" s="100"/>
      <c r="L47" s="19"/>
      <c r="M47" s="19"/>
      <c r="N47" s="101"/>
      <c r="O47" s="77"/>
      <c r="P47" s="77"/>
      <c r="Q47" s="77"/>
      <c r="R47" s="327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Y47" s="26" t="str">
        <f>Подвесная!BV50</f>
        <v>Серебро матовое</v>
      </c>
      <c r="AZ47" s="96">
        <v>1000</v>
      </c>
      <c r="BA47" s="96">
        <v>1250</v>
      </c>
      <c r="BB47" s="96">
        <v>1800</v>
      </c>
      <c r="BC47" s="96">
        <v>2000</v>
      </c>
      <c r="BD47" s="96">
        <v>2500</v>
      </c>
      <c r="BE47" s="96">
        <v>2700</v>
      </c>
      <c r="BF47" s="96">
        <v>3000</v>
      </c>
      <c r="BG47" s="96">
        <v>3600</v>
      </c>
      <c r="BH47" s="96">
        <v>3750</v>
      </c>
      <c r="BI47" s="96">
        <v>4000</v>
      </c>
      <c r="BJ47" s="96">
        <v>5000</v>
      </c>
      <c r="BK47" s="142">
        <v>5400</v>
      </c>
      <c r="BL47" s="187"/>
      <c r="BM47" s="186"/>
      <c r="BN47" s="186"/>
      <c r="BO47" s="186"/>
      <c r="BP47" s="186"/>
      <c r="BQ47" s="186"/>
      <c r="BR47" s="186"/>
      <c r="BS47" s="38"/>
      <c r="BT47" s="38"/>
      <c r="BU47" s="38"/>
      <c r="BV47" s="1" t="s">
        <v>80</v>
      </c>
    </row>
    <row r="48" spans="2:74" ht="25.05" customHeight="1" x14ac:dyDescent="0.3">
      <c r="J48" s="5"/>
      <c r="K48" s="100"/>
      <c r="L48" s="19"/>
      <c r="M48" s="19"/>
      <c r="N48" s="101"/>
      <c r="O48" s="77"/>
      <c r="P48" s="77"/>
      <c r="Q48" s="77"/>
      <c r="R48" s="327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Y48" s="26" t="str">
        <f>Подвесная!BV51</f>
        <v>Черный матовый</v>
      </c>
      <c r="AZ48" s="141">
        <v>0</v>
      </c>
      <c r="BA48" s="141">
        <v>0</v>
      </c>
      <c r="BB48" s="141">
        <v>0</v>
      </c>
      <c r="BC48" s="141">
        <v>0</v>
      </c>
      <c r="BD48" s="141">
        <v>0</v>
      </c>
      <c r="BE48" s="141">
        <v>0</v>
      </c>
      <c r="BF48" s="141">
        <v>0</v>
      </c>
      <c r="BG48" s="141">
        <v>0</v>
      </c>
      <c r="BH48" s="141">
        <v>0</v>
      </c>
      <c r="BI48" s="141">
        <v>0</v>
      </c>
      <c r="BJ48" s="141">
        <v>0</v>
      </c>
      <c r="BK48" s="316">
        <f>BK35</f>
        <v>2</v>
      </c>
      <c r="BL48" s="141"/>
      <c r="BM48" s="188"/>
      <c r="BN48" s="188"/>
      <c r="BO48" s="188"/>
      <c r="BP48" s="188"/>
      <c r="BQ48" s="188"/>
      <c r="BR48" s="188"/>
      <c r="BS48" s="38"/>
      <c r="BT48" s="38"/>
      <c r="BU48" s="38"/>
      <c r="BV48" s="83" t="s">
        <v>159</v>
      </c>
    </row>
    <row r="49" spans="10:74" ht="25.05" customHeight="1" x14ac:dyDescent="0.3">
      <c r="J49" s="5"/>
      <c r="K49" s="100"/>
      <c r="L49" s="19"/>
      <c r="M49" s="19"/>
      <c r="N49" s="101"/>
      <c r="O49" s="77"/>
      <c r="P49" s="77"/>
      <c r="Q49" s="77"/>
      <c r="R49" s="327"/>
      <c r="U49" s="6"/>
      <c r="V49" s="6"/>
      <c r="W49" s="6"/>
      <c r="X49" s="6"/>
      <c r="Y49" s="6"/>
      <c r="Z49" s="6"/>
      <c r="AA49" s="6"/>
      <c r="AB49" s="6"/>
      <c r="AC49" s="6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Y49" s="26" t="str">
        <f>Подвесная!BV52</f>
        <v>Слоновая кость</v>
      </c>
      <c r="AZ49" s="143">
        <v>0</v>
      </c>
      <c r="BA49" s="143">
        <v>0</v>
      </c>
      <c r="BB49" s="143">
        <v>0</v>
      </c>
      <c r="BC49" s="143">
        <v>0</v>
      </c>
      <c r="BD49" s="141">
        <f>IF(AND(BL49&gt;0,BL49&lt;=2500),1,0)</f>
        <v>1</v>
      </c>
      <c r="BE49" s="143">
        <v>0</v>
      </c>
      <c r="BF49" s="143">
        <v>0</v>
      </c>
      <c r="BG49" s="143">
        <v>0</v>
      </c>
      <c r="BH49" s="143">
        <v>0</v>
      </c>
      <c r="BI49" s="143">
        <v>0</v>
      </c>
      <c r="BJ49" s="141">
        <f>IF(AND(BL49&gt;2500,BL49&lt;=4950),BM49+1,BM49)</f>
        <v>0</v>
      </c>
      <c r="BK49" s="143">
        <v>0</v>
      </c>
      <c r="BL49" s="185">
        <f>BL36</f>
        <v>998</v>
      </c>
      <c r="BM49" s="185">
        <f>BM36</f>
        <v>0</v>
      </c>
      <c r="BN49" s="141"/>
      <c r="BO49" s="141"/>
      <c r="BP49" s="141"/>
      <c r="BQ49" s="141"/>
      <c r="BR49" s="141"/>
      <c r="BS49" s="38"/>
      <c r="BT49" s="38"/>
      <c r="BU49" s="38"/>
      <c r="BV49" s="83" t="s">
        <v>129</v>
      </c>
    </row>
    <row r="50" spans="10:74" ht="25.05" customHeight="1" x14ac:dyDescent="0.3">
      <c r="J50" s="5"/>
      <c r="K50" s="100"/>
      <c r="L50" s="19"/>
      <c r="M50" s="19"/>
      <c r="N50" s="101"/>
      <c r="O50" s="77"/>
      <c r="P50" s="77"/>
      <c r="Q50" s="77"/>
      <c r="R50" s="327"/>
      <c r="U50" s="6"/>
      <c r="V50" s="6"/>
      <c r="W50" s="6"/>
      <c r="X50" s="6"/>
      <c r="Y50" s="6"/>
      <c r="Z50" s="6"/>
      <c r="AA50" s="6"/>
      <c r="AB50" s="6"/>
      <c r="AC50" s="6"/>
      <c r="AD50" s="78"/>
      <c r="AE50" s="78"/>
      <c r="AF50" s="78"/>
      <c r="AG50" s="78"/>
      <c r="AH50" s="78"/>
      <c r="AI50" s="78"/>
      <c r="AJ50" s="78"/>
      <c r="AK50" s="78"/>
      <c r="AL50" s="78"/>
      <c r="AM50" s="78"/>
      <c r="AN50" s="78"/>
      <c r="AO50" s="78"/>
      <c r="AP50" s="78"/>
      <c r="AQ50" s="78"/>
      <c r="AR50" s="78"/>
      <c r="AS50" s="78"/>
      <c r="AT50" s="78"/>
      <c r="AU50" s="78"/>
      <c r="AV50" s="78"/>
      <c r="AW50" s="78"/>
      <c r="AY50" s="26" t="str">
        <f>Подвесная!BV53</f>
        <v>Белый матовый</v>
      </c>
      <c r="AZ50" s="143">
        <v>0</v>
      </c>
      <c r="BA50" s="143">
        <v>0</v>
      </c>
      <c r="BB50" s="143">
        <v>0</v>
      </c>
      <c r="BC50" s="143">
        <v>0</v>
      </c>
      <c r="BD50" s="143">
        <v>0</v>
      </c>
      <c r="BE50" s="141">
        <f>IF(AND(BL50&gt;0,BL50&lt;=2700),1,0)</f>
        <v>0</v>
      </c>
      <c r="BF50" s="143">
        <v>0</v>
      </c>
      <c r="BG50" s="143">
        <v>0</v>
      </c>
      <c r="BH50" s="143">
        <v>0</v>
      </c>
      <c r="BI50" s="143">
        <v>0</v>
      </c>
      <c r="BJ50" s="143">
        <v>0</v>
      </c>
      <c r="BK50" s="141">
        <f>IF(AND(BL50&gt;2700,BL50&lt;=5400),BM50+1,BM50)</f>
        <v>0</v>
      </c>
      <c r="BL50" s="185">
        <f t="shared" ref="BL50:BM50" si="26">BL37</f>
        <v>0</v>
      </c>
      <c r="BM50" s="185">
        <f t="shared" si="26"/>
        <v>0</v>
      </c>
      <c r="BN50" s="141"/>
      <c r="BO50" s="141"/>
      <c r="BP50" s="188"/>
      <c r="BQ50" s="188"/>
      <c r="BR50" s="188"/>
      <c r="BS50" s="38"/>
      <c r="BT50" s="38"/>
      <c r="BU50" s="38"/>
      <c r="BV50" s="1" t="s">
        <v>76</v>
      </c>
    </row>
    <row r="51" spans="10:74" ht="25.05" customHeight="1" x14ac:dyDescent="0.3">
      <c r="J51" s="5"/>
      <c r="K51" s="100"/>
      <c r="L51" s="19"/>
      <c r="M51" s="19"/>
      <c r="N51" s="101"/>
      <c r="O51" s="77"/>
      <c r="P51" s="77"/>
      <c r="Q51" s="77"/>
      <c r="R51" s="327"/>
      <c r="U51" s="6"/>
      <c r="V51" s="6"/>
      <c r="W51" s="6"/>
      <c r="X51" s="6"/>
      <c r="Y51" s="6"/>
      <c r="Z51" s="6"/>
      <c r="AA51" s="6"/>
      <c r="AB51" s="6"/>
      <c r="AC51" s="6"/>
      <c r="AD51" s="78"/>
      <c r="AE51" s="78"/>
      <c r="AF51" s="78"/>
      <c r="AG51" s="78"/>
      <c r="AH51" s="78"/>
      <c r="AI51" s="78"/>
      <c r="AJ51" s="78"/>
      <c r="AK51" s="78"/>
      <c r="AL51" s="78"/>
      <c r="AM51" s="78"/>
      <c r="AN51" s="78"/>
      <c r="AO51" s="78"/>
      <c r="AP51" s="78"/>
      <c r="AQ51" s="78"/>
      <c r="AR51" s="78"/>
      <c r="AS51" s="78"/>
      <c r="AT51" s="78"/>
      <c r="AU51" s="78"/>
      <c r="AV51" s="78"/>
      <c r="AW51" s="78"/>
      <c r="AY51" s="26" t="str">
        <f>Подвесная!BV54</f>
        <v xml:space="preserve">Венге темный </v>
      </c>
      <c r="AZ51" s="143">
        <v>0</v>
      </c>
      <c r="BA51" s="143">
        <v>0</v>
      </c>
      <c r="BB51" s="143">
        <v>0</v>
      </c>
      <c r="BC51" s="143">
        <v>0</v>
      </c>
      <c r="BD51" s="141">
        <f>IF(AND(BL51&gt;0,BL51&lt;=2500),1,0)</f>
        <v>1</v>
      </c>
      <c r="BE51" s="143">
        <v>0</v>
      </c>
      <c r="BF51" s="143">
        <v>0</v>
      </c>
      <c r="BG51" s="143">
        <v>0</v>
      </c>
      <c r="BH51" s="143">
        <v>0</v>
      </c>
      <c r="BI51" s="143">
        <v>0</v>
      </c>
      <c r="BJ51" s="141">
        <f>IF(AND(BL51&gt;2500,BL51&lt;=5000),BM51+1,BM51)</f>
        <v>0</v>
      </c>
      <c r="BK51" s="143">
        <v>0</v>
      </c>
      <c r="BL51" s="185">
        <f t="shared" ref="BL51:BM51" si="27">BL38</f>
        <v>998</v>
      </c>
      <c r="BM51" s="185">
        <f t="shared" si="27"/>
        <v>0</v>
      </c>
      <c r="BN51" s="141"/>
      <c r="BO51" s="141"/>
      <c r="BP51" s="188"/>
      <c r="BQ51" s="188"/>
      <c r="BR51" s="188"/>
      <c r="BS51" s="38"/>
      <c r="BT51" s="38"/>
      <c r="BU51" s="38"/>
    </row>
    <row r="52" spans="10:74" ht="25.05" customHeight="1" x14ac:dyDescent="0.3">
      <c r="J52" s="5"/>
      <c r="K52" s="100"/>
      <c r="L52" s="19"/>
      <c r="M52" s="19"/>
      <c r="N52" s="101"/>
      <c r="O52" s="77"/>
      <c r="P52" s="77"/>
      <c r="Q52" s="77"/>
      <c r="R52" s="327"/>
      <c r="U52" s="6"/>
      <c r="V52" s="6"/>
      <c r="W52" s="6"/>
      <c r="X52" s="6"/>
      <c r="Y52" s="6"/>
      <c r="Z52" s="6"/>
      <c r="AA52" s="6"/>
      <c r="AB52" s="6"/>
      <c r="AC52" s="6"/>
      <c r="AD52" s="78"/>
      <c r="AE52" s="78"/>
      <c r="AF52" s="78"/>
      <c r="AG52" s="78"/>
      <c r="AH52" s="78"/>
      <c r="AI52" s="78"/>
      <c r="AJ52" s="78"/>
      <c r="AK52" s="78"/>
      <c r="AL52" s="78"/>
      <c r="AM52" s="78"/>
      <c r="AN52" s="78"/>
      <c r="AO52" s="78"/>
      <c r="AP52" s="78"/>
      <c r="AQ52" s="78"/>
      <c r="AR52" s="78"/>
      <c r="AS52" s="78"/>
      <c r="AT52" s="78"/>
      <c r="AU52" s="78"/>
      <c r="AV52" s="78"/>
      <c r="AW52" s="78"/>
      <c r="AY52" s="26" t="str">
        <f>Подвесная!BV55</f>
        <v>Дуб белый</v>
      </c>
      <c r="AZ52" s="143">
        <v>0</v>
      </c>
      <c r="BA52" s="143">
        <v>0</v>
      </c>
      <c r="BB52" s="143">
        <v>0</v>
      </c>
      <c r="BC52" s="143">
        <v>0</v>
      </c>
      <c r="BD52" s="141">
        <f>IF(AND(BL52&gt;1250,BL52&lt;=2500),1,0)</f>
        <v>1</v>
      </c>
      <c r="BE52" s="143">
        <v>0</v>
      </c>
      <c r="BF52" s="143">
        <v>0</v>
      </c>
      <c r="BG52" s="143">
        <v>0</v>
      </c>
      <c r="BH52" s="143">
        <v>0</v>
      </c>
      <c r="BI52" s="143">
        <v>0</v>
      </c>
      <c r="BJ52" s="141">
        <f>IF(AND(BL52&gt;3750,BL52&lt;=5000),BM52+1,BM52)</f>
        <v>0</v>
      </c>
      <c r="BK52" s="143">
        <v>0</v>
      </c>
      <c r="BL52" s="185">
        <f t="shared" ref="BL52:BM52" si="28">BL39</f>
        <v>1644</v>
      </c>
      <c r="BM52" s="185">
        <f t="shared" si="28"/>
        <v>0</v>
      </c>
      <c r="BN52" s="141"/>
      <c r="BO52" s="141"/>
      <c r="BP52" s="188"/>
      <c r="BQ52" s="188"/>
      <c r="BR52" s="189"/>
      <c r="BS52" s="38"/>
      <c r="BT52" s="38"/>
      <c r="BU52" s="38"/>
    </row>
    <row r="53" spans="10:74" ht="25.05" customHeight="1" x14ac:dyDescent="0.3">
      <c r="J53" s="5"/>
      <c r="K53" s="100"/>
      <c r="L53" s="19"/>
      <c r="M53" s="19"/>
      <c r="N53" s="101"/>
      <c r="O53" s="77"/>
      <c r="P53" s="77"/>
      <c r="Q53" s="77"/>
      <c r="R53" s="327"/>
      <c r="U53" s="6"/>
      <c r="V53" s="6"/>
      <c r="W53" s="6"/>
      <c r="X53" s="6"/>
      <c r="Y53" s="6"/>
      <c r="Z53" s="6"/>
      <c r="AA53" s="6"/>
      <c r="AB53" s="6"/>
      <c r="AC53" s="6"/>
      <c r="AD53" s="78"/>
      <c r="AE53" s="78"/>
      <c r="AF53" s="78"/>
      <c r="AG53" s="78"/>
      <c r="AH53" s="78"/>
      <c r="AI53" s="78"/>
      <c r="AJ53" s="78"/>
      <c r="AK53" s="78"/>
      <c r="AL53" s="78"/>
      <c r="AM53" s="78"/>
      <c r="AN53" s="78"/>
      <c r="AO53" s="78"/>
      <c r="AP53" s="78"/>
      <c r="AQ53" s="78"/>
      <c r="AR53" s="78"/>
      <c r="AS53" s="78"/>
      <c r="AT53" s="78"/>
      <c r="AU53" s="78"/>
      <c r="AV53" s="78"/>
      <c r="AW53" s="78"/>
      <c r="AY53" s="26" t="str">
        <f>Подвесная!BV56</f>
        <v xml:space="preserve"> медь античная*</v>
      </c>
      <c r="AZ53" s="143">
        <v>0</v>
      </c>
      <c r="BA53" s="143">
        <v>0</v>
      </c>
      <c r="BB53" s="191">
        <f>IF(AND(J14=BY5,BO53&gt;0,BO53&lt;=1800),1,0)</f>
        <v>0</v>
      </c>
      <c r="BC53" s="143">
        <v>0</v>
      </c>
      <c r="BD53" s="190">
        <f>IF(AND(J14=BY6,BL53&gt;0,BL53&lt;=2500),1,0)</f>
        <v>0</v>
      </c>
      <c r="BE53" s="191">
        <f>IF(AND(J14=BY5,BO53&gt;1800,BO53&lt;=2700),1,0)</f>
        <v>0</v>
      </c>
      <c r="BF53" s="143">
        <v>0</v>
      </c>
      <c r="BG53" s="191">
        <f>IF(AND(J14=BY5,BO53&gt;2700,BO53&lt;=3600),1,0)</f>
        <v>0</v>
      </c>
      <c r="BH53" s="143">
        <v>0</v>
      </c>
      <c r="BI53" s="143">
        <v>0</v>
      </c>
      <c r="BJ53" s="190">
        <f>IF(AND(J14=BY6,BL53&gt;2500,BL53&lt;=4950),BM53+1,BM53)</f>
        <v>0</v>
      </c>
      <c r="BK53" s="191">
        <f>IF(AND(J14=BY5,BO53&gt;3600,BO53&lt;=5350),BP53+1,BP53)</f>
        <v>0</v>
      </c>
      <c r="BL53" s="185">
        <f>BL40</f>
        <v>0</v>
      </c>
      <c r="BM53" s="185">
        <f>BM40</f>
        <v>0</v>
      </c>
      <c r="BN53" s="141"/>
      <c r="BO53" s="141">
        <f>BO40</f>
        <v>0</v>
      </c>
      <c r="BP53" s="141">
        <f>BP40</f>
        <v>0</v>
      </c>
      <c r="BQ53" s="188"/>
      <c r="BR53" s="188"/>
      <c r="BS53" s="38"/>
      <c r="BT53" s="38"/>
      <c r="BU53" s="38"/>
      <c r="BV53" s="1" t="s">
        <v>178</v>
      </c>
    </row>
    <row r="54" spans="10:74" ht="25.05" customHeight="1" x14ac:dyDescent="0.3">
      <c r="J54" s="5"/>
      <c r="K54" s="100"/>
      <c r="L54" s="19"/>
      <c r="M54" s="19"/>
      <c r="N54" s="101"/>
      <c r="O54" s="77"/>
      <c r="P54" s="77"/>
      <c r="Q54" s="77"/>
      <c r="R54" s="327"/>
      <c r="U54" s="78"/>
      <c r="V54" s="78"/>
      <c r="W54" s="78"/>
      <c r="X54" s="78"/>
      <c r="Y54" s="78"/>
      <c r="Z54" s="78"/>
      <c r="AA54" s="78"/>
      <c r="AB54" s="78"/>
      <c r="AC54" s="78"/>
      <c r="AD54" s="78"/>
      <c r="AE54" s="78"/>
      <c r="AF54" s="78"/>
      <c r="AG54" s="78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78"/>
      <c r="AU54" s="78"/>
      <c r="AV54" s="78"/>
      <c r="AW54" s="78"/>
      <c r="AY54" s="26" t="str">
        <f>Подвесная!BV57</f>
        <v>сталь воронёная</v>
      </c>
      <c r="AZ54" s="192">
        <v>0</v>
      </c>
      <c r="BA54" s="192">
        <v>0</v>
      </c>
      <c r="BB54" s="192">
        <v>0</v>
      </c>
      <c r="BC54" s="192">
        <v>0</v>
      </c>
      <c r="BD54" s="192">
        <v>0</v>
      </c>
      <c r="BE54" s="141">
        <f>IF(AND(BO54&gt;0,BO54&lt;=2700),1,0)</f>
        <v>1</v>
      </c>
      <c r="BF54" s="192">
        <v>0</v>
      </c>
      <c r="BG54" s="192">
        <v>0</v>
      </c>
      <c r="BH54" s="192">
        <v>0</v>
      </c>
      <c r="BI54" s="192">
        <v>0</v>
      </c>
      <c r="BJ54" s="192">
        <v>0</v>
      </c>
      <c r="BK54" s="141">
        <f>IF(AND(BO54&gt;2700,BO54&lt;=5400),BP54+1,BP54)</f>
        <v>0</v>
      </c>
      <c r="BL54" s="185"/>
      <c r="BM54" s="141"/>
      <c r="BN54" s="185"/>
      <c r="BO54" s="141">
        <f>BO41</f>
        <v>540</v>
      </c>
      <c r="BP54" s="141">
        <f>BP41</f>
        <v>0</v>
      </c>
      <c r="BQ54" s="185"/>
      <c r="BR54" s="185"/>
      <c r="BS54" s="38"/>
      <c r="BT54" s="38"/>
      <c r="BU54" s="38"/>
      <c r="BV54" s="1" t="s">
        <v>175</v>
      </c>
    </row>
    <row r="55" spans="10:74" x14ac:dyDescent="0.3">
      <c r="J55" s="5"/>
      <c r="K55" s="100"/>
      <c r="L55" s="19"/>
      <c r="M55" s="19"/>
      <c r="N55" s="101"/>
      <c r="O55" s="77"/>
      <c r="P55" s="77"/>
      <c r="Q55" s="77"/>
      <c r="R55" s="327"/>
      <c r="U55" s="78"/>
      <c r="V55" s="78"/>
      <c r="W55" s="78"/>
      <c r="X55" s="78"/>
      <c r="Y55" s="78"/>
      <c r="Z55" s="78"/>
      <c r="AA55" s="78"/>
      <c r="AB55" s="78"/>
      <c r="AC55" s="78"/>
      <c r="AD55" s="78"/>
      <c r="AE55" s="78"/>
      <c r="AF55" s="78"/>
      <c r="AG55" s="78"/>
      <c r="AH55" s="78"/>
      <c r="AI55" s="78"/>
      <c r="AJ55" s="78"/>
      <c r="AK55" s="78"/>
      <c r="AL55" s="78"/>
      <c r="AM55" s="78"/>
      <c r="AN55" s="78"/>
      <c r="AO55" s="78"/>
      <c r="AP55" s="78"/>
      <c r="AQ55" s="78"/>
      <c r="AR55" s="78"/>
      <c r="AS55" s="78"/>
      <c r="AT55" s="78"/>
      <c r="AU55" s="78"/>
      <c r="AV55" s="78"/>
      <c r="AW55" s="78"/>
      <c r="AY55" s="26" t="str">
        <f>Подвесная!BV58</f>
        <v>золото матовое</v>
      </c>
      <c r="BA55" s="183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38"/>
      <c r="BM55" s="38"/>
      <c r="BN55" s="38"/>
      <c r="BO55" s="38"/>
      <c r="BP55" s="38"/>
      <c r="BQ55" s="38"/>
      <c r="BR55" s="38"/>
      <c r="BS55" s="38"/>
      <c r="BT55" s="38"/>
      <c r="BU55" s="38"/>
    </row>
    <row r="56" spans="10:74" x14ac:dyDescent="0.3">
      <c r="J56" s="585"/>
      <c r="K56" s="585"/>
      <c r="L56" s="585"/>
      <c r="M56" s="585"/>
      <c r="N56" s="585"/>
      <c r="O56" s="102"/>
      <c r="P56" s="102"/>
      <c r="Q56" s="102"/>
      <c r="R56" s="327"/>
      <c r="U56" s="78"/>
      <c r="V56" s="78"/>
      <c r="W56" s="78"/>
      <c r="X56" s="78"/>
      <c r="Y56" s="78"/>
      <c r="Z56" s="78"/>
      <c r="AA56" s="78"/>
      <c r="AB56" s="78"/>
      <c r="AC56" s="78"/>
      <c r="AD56" s="78"/>
      <c r="AE56" s="78"/>
      <c r="AF56" s="78"/>
      <c r="AG56" s="78"/>
      <c r="AH56" s="78"/>
      <c r="AI56" s="78"/>
      <c r="AJ56" s="78"/>
      <c r="AK56" s="78"/>
      <c r="AL56" s="78"/>
      <c r="AM56" s="78"/>
      <c r="AN56" s="78"/>
      <c r="AO56" s="78"/>
      <c r="AP56" s="78"/>
      <c r="AQ56" s="78"/>
      <c r="AR56" s="78"/>
      <c r="AS56" s="78"/>
      <c r="AT56" s="78"/>
      <c r="AU56" s="78"/>
      <c r="AV56" s="78"/>
      <c r="AW56" s="78"/>
      <c r="AY56" s="26" t="str">
        <f>Подвесная!BV59</f>
        <v>антрацит</v>
      </c>
      <c r="BA56" s="184"/>
    </row>
    <row r="57" spans="10:74" ht="15.75" customHeight="1" x14ac:dyDescent="0.3">
      <c r="J57" s="5"/>
      <c r="K57" s="5"/>
      <c r="L57" s="5"/>
      <c r="M57" s="5"/>
      <c r="N57" s="5"/>
      <c r="O57" s="5"/>
      <c r="R57" s="327"/>
      <c r="U57" s="78"/>
      <c r="V57" s="78"/>
      <c r="W57" s="78"/>
      <c r="X57" s="78"/>
      <c r="Y57" s="78"/>
      <c r="Z57" s="78"/>
      <c r="AA57" s="78"/>
      <c r="AB57" s="78"/>
      <c r="AC57" s="78"/>
      <c r="AD57" s="78"/>
      <c r="AE57" s="78"/>
      <c r="AF57" s="78"/>
      <c r="AG57" s="78"/>
      <c r="AH57" s="78"/>
      <c r="AI57" s="78"/>
      <c r="AJ57" s="78"/>
      <c r="AK57" s="78"/>
      <c r="AL57" s="78"/>
      <c r="AM57" s="78"/>
      <c r="AN57" s="78"/>
      <c r="AO57" s="78"/>
      <c r="AP57" s="78"/>
      <c r="AQ57" s="78"/>
      <c r="AR57" s="78"/>
      <c r="AS57" s="78"/>
      <c r="AT57" s="78"/>
      <c r="AU57" s="78"/>
      <c r="AV57" s="78"/>
      <c r="AW57" s="78"/>
      <c r="AY57" s="26" t="str">
        <f>Подвесная!BV60</f>
        <v>кварц бронзовый*</v>
      </c>
      <c r="BA57" s="184"/>
    </row>
    <row r="58" spans="10:74" ht="15.75" customHeight="1" x14ac:dyDescent="0.3">
      <c r="J58" s="6"/>
      <c r="K58" s="6"/>
      <c r="L58" s="6"/>
      <c r="M58" s="6"/>
      <c r="N58" s="6"/>
      <c r="O58" s="6"/>
      <c r="R58" s="327"/>
      <c r="U58" s="78"/>
      <c r="V58" s="78"/>
      <c r="W58" s="78"/>
      <c r="X58" s="78"/>
      <c r="Y58" s="78"/>
      <c r="Z58" s="78"/>
      <c r="AA58" s="78"/>
      <c r="AB58" s="78"/>
      <c r="AC58" s="78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Y58" s="26" t="str">
        <f>Подвесная!BV61</f>
        <v>жемчуг серый*</v>
      </c>
      <c r="BA58" s="184"/>
      <c r="BV58" s="1" t="s">
        <v>179</v>
      </c>
    </row>
    <row r="59" spans="10:74" ht="15.75" customHeight="1" x14ac:dyDescent="0.3">
      <c r="J59" s="6"/>
      <c r="K59" s="6"/>
      <c r="L59" s="6"/>
      <c r="M59" s="6"/>
      <c r="N59" s="6"/>
      <c r="O59" s="6"/>
      <c r="R59" s="327"/>
      <c r="U59" s="78"/>
      <c r="V59" s="78"/>
      <c r="W59" s="78"/>
      <c r="X59" s="78"/>
      <c r="Y59" s="78"/>
      <c r="Z59" s="78"/>
      <c r="AA59" s="78"/>
      <c r="AB59" s="78"/>
      <c r="AC59" s="78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Y59" s="26" t="str">
        <f>Подвесная!BV62</f>
        <v>жемчуг розовый*</v>
      </c>
      <c r="BA59" s="184"/>
      <c r="BV59" s="1" t="s">
        <v>175</v>
      </c>
    </row>
    <row r="60" spans="10:74" ht="15.75" customHeight="1" x14ac:dyDescent="0.3">
      <c r="J60" s="6"/>
      <c r="K60" s="6"/>
      <c r="L60" s="6"/>
      <c r="M60" s="6"/>
      <c r="N60" s="6"/>
      <c r="O60" s="6"/>
      <c r="R60" s="327"/>
      <c r="U60" s="78"/>
      <c r="V60" s="78"/>
      <c r="W60" s="78"/>
      <c r="X60" s="78"/>
      <c r="Y60" s="78"/>
      <c r="Z60" s="78"/>
      <c r="AA60" s="78"/>
      <c r="AB60" s="78"/>
      <c r="AC60" s="78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Y60" s="184"/>
      <c r="BA60" s="184"/>
    </row>
    <row r="61" spans="10:74" x14ac:dyDescent="0.3">
      <c r="J61" s="6"/>
      <c r="K61" s="6"/>
      <c r="L61" s="6"/>
      <c r="M61" s="6"/>
      <c r="N61" s="6"/>
      <c r="O61" s="6"/>
      <c r="R61" s="327"/>
      <c r="U61" s="78"/>
      <c r="V61" s="78"/>
      <c r="W61" s="78"/>
      <c r="X61" s="78"/>
      <c r="Y61" s="78"/>
      <c r="Z61" s="78"/>
      <c r="AA61" s="78"/>
      <c r="AB61" s="78"/>
      <c r="AC61" s="78"/>
      <c r="AD61" s="78"/>
      <c r="AE61" s="78"/>
      <c r="AF61" s="78"/>
      <c r="AG61" s="78"/>
      <c r="AH61" s="78"/>
      <c r="AI61" s="78"/>
      <c r="AJ61" s="78"/>
      <c r="AK61" s="78"/>
      <c r="AL61" s="78"/>
      <c r="AM61" s="78"/>
      <c r="AN61" s="78"/>
      <c r="AO61" s="78"/>
      <c r="AP61" s="78"/>
      <c r="AQ61" s="78"/>
      <c r="AR61" s="78"/>
      <c r="AS61" s="78"/>
      <c r="AT61" s="78"/>
      <c r="AU61" s="78"/>
      <c r="AV61" s="78"/>
      <c r="AW61" s="78"/>
      <c r="AY61" s="184"/>
      <c r="BA61" s="184"/>
    </row>
    <row r="62" spans="10:74" x14ac:dyDescent="0.3">
      <c r="J62" s="6"/>
      <c r="K62" s="6"/>
      <c r="L62" s="6"/>
      <c r="M62" s="6"/>
      <c r="N62" s="6"/>
      <c r="O62" s="6"/>
      <c r="R62" s="327"/>
      <c r="U62" s="78"/>
      <c r="V62" s="78"/>
      <c r="W62" s="78"/>
      <c r="X62" s="78"/>
      <c r="Y62" s="78"/>
      <c r="Z62" s="78"/>
      <c r="AA62" s="78"/>
      <c r="AB62" s="78"/>
      <c r="AC62" s="78"/>
      <c r="AD62" s="78"/>
      <c r="AE62" s="78"/>
      <c r="AF62" s="78"/>
      <c r="AG62" s="78"/>
      <c r="AH62" s="78"/>
      <c r="AI62" s="78"/>
      <c r="AJ62" s="78"/>
      <c r="AK62" s="78"/>
      <c r="AL62" s="78"/>
      <c r="AM62" s="78"/>
      <c r="AN62" s="78"/>
      <c r="AO62" s="78"/>
      <c r="AP62" s="78"/>
      <c r="AQ62" s="78"/>
      <c r="AR62" s="78"/>
      <c r="AS62" s="78"/>
      <c r="AT62" s="78"/>
      <c r="AU62" s="78"/>
      <c r="AV62" s="78"/>
      <c r="AW62" s="78"/>
      <c r="AY62" s="184" t="s">
        <v>200</v>
      </c>
      <c r="BA62" s="184"/>
    </row>
    <row r="63" spans="10:74" x14ac:dyDescent="0.3">
      <c r="J63" s="6"/>
      <c r="K63" s="6"/>
      <c r="L63" s="6"/>
      <c r="M63" s="6"/>
      <c r="N63" s="6"/>
      <c r="O63" s="6"/>
      <c r="R63" s="327"/>
      <c r="U63" s="78"/>
      <c r="V63" s="78"/>
      <c r="W63" s="78"/>
      <c r="X63" s="78"/>
      <c r="Y63" s="78"/>
      <c r="Z63" s="78"/>
      <c r="AA63" s="78"/>
      <c r="AB63" s="78"/>
      <c r="AC63" s="78"/>
      <c r="AD63" s="78"/>
      <c r="AE63" s="78"/>
      <c r="AF63" s="78"/>
      <c r="AG63" s="78"/>
      <c r="AH63" s="78"/>
      <c r="AI63" s="78"/>
      <c r="AJ63" s="78"/>
      <c r="AK63" s="78"/>
      <c r="AL63" s="78"/>
      <c r="AM63" s="78"/>
      <c r="AN63" s="78"/>
      <c r="AO63" s="78"/>
      <c r="AP63" s="78"/>
      <c r="AQ63" s="78"/>
      <c r="AR63" s="78"/>
      <c r="AS63" s="78"/>
      <c r="AT63" s="78"/>
      <c r="AU63" s="78"/>
      <c r="AV63" s="78"/>
      <c r="AW63" s="78"/>
      <c r="AY63" s="184" t="s">
        <v>247</v>
      </c>
      <c r="BA63" s="184"/>
    </row>
    <row r="64" spans="10:74" x14ac:dyDescent="0.3">
      <c r="J64" s="6"/>
      <c r="K64" s="6"/>
      <c r="L64" s="6"/>
      <c r="M64" s="6"/>
      <c r="N64" s="6"/>
      <c r="O64" s="6"/>
      <c r="R64" s="327"/>
      <c r="U64" s="78"/>
      <c r="V64" s="78"/>
      <c r="W64" s="78"/>
      <c r="X64" s="78"/>
      <c r="Y64" s="78"/>
      <c r="Z64" s="78"/>
      <c r="AA64" s="78"/>
      <c r="AB64" s="78"/>
      <c r="AC64" s="78"/>
      <c r="AD64" s="78"/>
      <c r="AE64" s="78"/>
      <c r="AF64" s="78"/>
      <c r="AG64" s="78"/>
      <c r="AH64" s="78"/>
      <c r="AI64" s="78"/>
      <c r="AJ64" s="78"/>
      <c r="AK64" s="78"/>
      <c r="AL64" s="78"/>
      <c r="AM64" s="78"/>
      <c r="AN64" s="78"/>
      <c r="AO64" s="78"/>
      <c r="AP64" s="78"/>
      <c r="AQ64" s="78"/>
      <c r="AR64" s="78"/>
      <c r="AS64" s="78"/>
      <c r="AT64" s="78"/>
      <c r="AU64" s="78"/>
      <c r="AV64" s="78"/>
      <c r="AW64" s="78"/>
    </row>
    <row r="65" spans="10:75" x14ac:dyDescent="0.3">
      <c r="J65" s="6"/>
      <c r="K65" s="6"/>
      <c r="L65" s="6"/>
      <c r="M65" s="6"/>
      <c r="N65" s="6"/>
      <c r="O65" s="6"/>
      <c r="R65" s="327"/>
      <c r="U65" s="103"/>
      <c r="V65" s="103"/>
      <c r="W65" s="103"/>
      <c r="X65" s="103"/>
      <c r="Y65" s="103"/>
      <c r="Z65" s="103"/>
      <c r="AA65" s="103"/>
      <c r="AB65" s="103"/>
      <c r="AC65" s="103"/>
      <c r="AD65" s="103"/>
      <c r="AE65" s="103"/>
      <c r="AF65" s="103"/>
      <c r="AG65" s="103"/>
      <c r="AH65" s="103"/>
      <c r="AI65" s="103"/>
      <c r="AJ65" s="103"/>
      <c r="AK65" s="103"/>
      <c r="AL65" s="103"/>
      <c r="AM65" s="103"/>
      <c r="AN65" s="103"/>
      <c r="AO65" s="103"/>
      <c r="AP65" s="103"/>
      <c r="AQ65" s="103"/>
      <c r="AR65" s="103"/>
      <c r="AS65" s="103"/>
      <c r="AT65" s="103"/>
      <c r="AU65" s="103"/>
      <c r="AV65" s="103"/>
      <c r="AW65" s="103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</row>
    <row r="66" spans="10:75" x14ac:dyDescent="0.3">
      <c r="R66" s="327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</row>
    <row r="67" spans="10:75" x14ac:dyDescent="0.3">
      <c r="R67" s="327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</row>
    <row r="68" spans="10:75" x14ac:dyDescent="0.3">
      <c r="R68" s="327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</row>
  </sheetData>
  <sheetProtection algorithmName="SHA-512" hashValue="HHLb/r8oZ1OsZxe5YOPaFRwa1VihLHlsaKq+7Gl6M0iBNbWsOOiHlaYAvEM2Ib0gbczZxqaHQaBLuCezkPwoxQ==" saltValue="qXUTHNycjK/XStJ9V6ob2w==" spinCount="100000" sheet="1" selectLockedCells="1"/>
  <mergeCells count="57">
    <mergeCell ref="R4:R5"/>
    <mergeCell ref="W3:Y3"/>
    <mergeCell ref="BL16:BM16"/>
    <mergeCell ref="BO16:BP16"/>
    <mergeCell ref="L41:O41"/>
    <mergeCell ref="J31:M31"/>
    <mergeCell ref="J32:M32"/>
    <mergeCell ref="J33:M33"/>
    <mergeCell ref="J34:M34"/>
    <mergeCell ref="J35:M35"/>
    <mergeCell ref="AC18:AG18"/>
    <mergeCell ref="Z3:AA3"/>
    <mergeCell ref="U7:AH7"/>
    <mergeCell ref="J3:K3"/>
    <mergeCell ref="J7:M7"/>
    <mergeCell ref="B8:D8"/>
    <mergeCell ref="B9:D9"/>
    <mergeCell ref="B10:D10"/>
    <mergeCell ref="B11:D11"/>
    <mergeCell ref="B12:D12"/>
    <mergeCell ref="B4:D4"/>
    <mergeCell ref="B3:D3"/>
    <mergeCell ref="B5:D5"/>
    <mergeCell ref="B6:D6"/>
    <mergeCell ref="B7:D7"/>
    <mergeCell ref="E25:G25"/>
    <mergeCell ref="C26:D26"/>
    <mergeCell ref="C30:D30"/>
    <mergeCell ref="J56:N56"/>
    <mergeCell ref="U16:AG16"/>
    <mergeCell ref="J20:L20"/>
    <mergeCell ref="J21:M21"/>
    <mergeCell ref="J22:M22"/>
    <mergeCell ref="J23:M23"/>
    <mergeCell ref="J24:M24"/>
    <mergeCell ref="J25:M25"/>
    <mergeCell ref="J26:M26"/>
    <mergeCell ref="J27:M27"/>
    <mergeCell ref="J28:M28"/>
    <mergeCell ref="J29:M29"/>
    <mergeCell ref="J30:M30"/>
    <mergeCell ref="B1:H1"/>
    <mergeCell ref="J1:O1"/>
    <mergeCell ref="Q40:Q41"/>
    <mergeCell ref="J36:M36"/>
    <mergeCell ref="J37:M37"/>
    <mergeCell ref="J38:M38"/>
    <mergeCell ref="E4:H4"/>
    <mergeCell ref="E3:H3"/>
    <mergeCell ref="E5:H5"/>
    <mergeCell ref="E6:H6"/>
    <mergeCell ref="E7:H7"/>
    <mergeCell ref="E8:H8"/>
    <mergeCell ref="E9:H9"/>
    <mergeCell ref="E10:H10"/>
    <mergeCell ref="E11:H11"/>
    <mergeCell ref="E12:H12"/>
  </mergeCells>
  <conditionalFormatting sqref="E7">
    <cfRule type="cellIs" dxfId="94" priority="94" operator="greaterThan">
      <formula>0</formula>
    </cfRule>
  </conditionalFormatting>
  <conditionalFormatting sqref="E11">
    <cfRule type="cellIs" dxfId="93" priority="65" operator="greaterThan">
      <formula>0</formula>
    </cfRule>
  </conditionalFormatting>
  <conditionalFormatting sqref="E12">
    <cfRule type="cellIs" dxfId="92" priority="61" operator="greaterThan">
      <formula>0</formula>
    </cfRule>
  </conditionalFormatting>
  <conditionalFormatting sqref="K4">
    <cfRule type="expression" dxfId="91" priority="111">
      <formula>$K$4&gt;3200</formula>
    </cfRule>
  </conditionalFormatting>
  <conditionalFormatting sqref="E6">
    <cfRule type="cellIs" dxfId="90" priority="36" operator="greaterThan">
      <formula>0</formula>
    </cfRule>
  </conditionalFormatting>
  <conditionalFormatting sqref="E10">
    <cfRule type="expression" dxfId="89" priority="417">
      <formula>$E$9=$BV$10</formula>
    </cfRule>
  </conditionalFormatting>
  <conditionalFormatting sqref="U9:AF15">
    <cfRule type="cellIs" dxfId="88" priority="77" operator="equal">
      <formula>0</formula>
    </cfRule>
  </conditionalFormatting>
  <conditionalFormatting sqref="H40">
    <cfRule type="expression" dxfId="87" priority="30">
      <formula>$H$40&gt;40</formula>
    </cfRule>
  </conditionalFormatting>
  <conditionalFormatting sqref="O37:Q37 S37:T37">
    <cfRule type="expression" dxfId="86" priority="494">
      <formula>#REF!=0</formula>
    </cfRule>
  </conditionalFormatting>
  <conditionalFormatting sqref="AA42:AD43 H25 F20:H24 E20 K4:K5 L9:Q12 L15:Q15 AH15:AH16 T16 T14:AG15 O22:Q38 P13:Q14 L13:N14 S10:S17 AS16:AW16 AS9:AW9 S9:AH9 T10:AH13 U12:AF15 AV10:AW13 AG11:AG15 S22:S30 S31:T39">
    <cfRule type="expression" dxfId="85" priority="548">
      <formula>$E$4=0</formula>
    </cfRule>
  </conditionalFormatting>
  <conditionalFormatting sqref="AH18 R41 AS33:AW33">
    <cfRule type="expression" dxfId="84" priority="562">
      <formula>$E$4=0</formula>
    </cfRule>
  </conditionalFormatting>
  <conditionalFormatting sqref="K5">
    <cfRule type="expression" dxfId="83" priority="564">
      <formula>AND(OR($K$5&lt;300,$K$5&gt;600),$E$4&gt;0)</formula>
    </cfRule>
  </conditionalFormatting>
  <conditionalFormatting sqref="C26">
    <cfRule type="expression" dxfId="82" priority="566">
      <formula>$C$26=$BV$40</formula>
    </cfRule>
  </conditionalFormatting>
  <conditionalFormatting sqref="C26:D26">
    <cfRule type="expression" dxfId="81" priority="567">
      <formula>$C$26=$BV$39</formula>
    </cfRule>
  </conditionalFormatting>
  <conditionalFormatting sqref="C30">
    <cfRule type="expression" dxfId="80" priority="569">
      <formula>$C$30=$BV$43</formula>
    </cfRule>
  </conditionalFormatting>
  <conditionalFormatting sqref="AB3:AC3">
    <cfRule type="expression" dxfId="79" priority="934">
      <formula>$CC$19=FALSE</formula>
    </cfRule>
  </conditionalFormatting>
  <conditionalFormatting sqref="O14">
    <cfRule type="expression" dxfId="78" priority="24">
      <formula>$E$4=0</formula>
    </cfRule>
  </conditionalFormatting>
  <conditionalFormatting sqref="O13">
    <cfRule type="expression" dxfId="77" priority="23">
      <formula>$E$4=0</formula>
    </cfRule>
  </conditionalFormatting>
  <conditionalFormatting sqref="S17 R1:AH2 R20:S20 R6:AH6 S4:AH5 V3:W3 R3:T3 AI1:AW9 Z3:AH3 AI16:AW16 AV10:AW13 S7:AH16 S31:AW32 R40:AW41 S33:AB33 AI33:AW33 R18:AW19 S34:AW39 S21:S30">
    <cfRule type="expression" dxfId="76" priority="22">
      <formula>$N$3=$CE$9</formula>
    </cfRule>
  </conditionalFormatting>
  <conditionalFormatting sqref="T1:AW2 T3 V3:W3 Z3:AW3 T4:AW9 T16:AW16 AV10:AW13 T10:AH15 T31:AW32 T34:AW41 T33:AB33 AI33:AW33 T18:AW19">
    <cfRule type="expression" dxfId="75" priority="20">
      <formula>$N$3=$CE$10</formula>
    </cfRule>
  </conditionalFormatting>
  <conditionalFormatting sqref="R41">
    <cfRule type="expression" dxfId="74" priority="18">
      <formula>$N$3=$CE$11</formula>
    </cfRule>
  </conditionalFormatting>
  <conditionalFormatting sqref="AI16 AI9 AO9:AR9 AO16:AR16">
    <cfRule type="expression" dxfId="73" priority="14">
      <formula>$E$4=0</formula>
    </cfRule>
  </conditionalFormatting>
  <conditionalFormatting sqref="AI33 AO33:AR33">
    <cfRule type="expression" dxfId="72" priority="15">
      <formula>$E$4=0</formula>
    </cfRule>
  </conditionalFormatting>
  <conditionalFormatting sqref="AM16:AN16 AM9:AN9">
    <cfRule type="expression" dxfId="71" priority="10">
      <formula>$E$4=0</formula>
    </cfRule>
  </conditionalFormatting>
  <conditionalFormatting sqref="AM33:AN33">
    <cfRule type="expression" dxfId="70" priority="11">
      <formula>$E$4=0</formula>
    </cfRule>
  </conditionalFormatting>
  <conditionalFormatting sqref="AJ9:AL9 AJ16:AL16">
    <cfRule type="expression" dxfId="69" priority="6">
      <formula>$E$4=0</formula>
    </cfRule>
  </conditionalFormatting>
  <conditionalFormatting sqref="AJ33:AL33">
    <cfRule type="expression" dxfId="68" priority="7">
      <formula>$E$4=0</formula>
    </cfRule>
  </conditionalFormatting>
  <conditionalFormatting sqref="E8">
    <cfRule type="expression" dxfId="67" priority="1052">
      <formula>AND($E$8=$BV$5,$E$7=$AY$48)</formula>
    </cfRule>
  </conditionalFormatting>
  <conditionalFormatting sqref="AI10:AU15">
    <cfRule type="expression" dxfId="66" priority="3">
      <formula>$E$4=0</formula>
    </cfRule>
  </conditionalFormatting>
  <conditionalFormatting sqref="AW15">
    <cfRule type="expression" dxfId="65" priority="2">
      <formula>$E$4=0</formula>
    </cfRule>
  </conditionalFormatting>
  <conditionalFormatting sqref="AV15">
    <cfRule type="expression" dxfId="64" priority="1">
      <formula>$E$4=0</formula>
    </cfRule>
  </conditionalFormatting>
  <dataValidations count="10">
    <dataValidation type="list" allowBlank="1" showInputMessage="1" showErrorMessage="1" sqref="E10">
      <formula1>$BV$18:$BV$19</formula1>
    </dataValidation>
    <dataValidation type="list" allowBlank="1" showInputMessage="1" showErrorMessage="1" sqref="E8">
      <formula1>$BV$5:$BV$6</formula1>
    </dataValidation>
    <dataValidation type="list" allowBlank="1" showInputMessage="1" showErrorMessage="1" sqref="E9">
      <formula1>$BV$9:$BV$10</formula1>
    </dataValidation>
    <dataValidation type="list" allowBlank="1" showInputMessage="1" showErrorMessage="1" sqref="E5">
      <formula1>$BV$33:$BV$37</formula1>
    </dataValidation>
    <dataValidation type="list" allowBlank="1" showInputMessage="1" showErrorMessage="1" sqref="C20:C24">
      <formula1>$BV$13:$BV$15</formula1>
    </dataValidation>
    <dataValidation type="list" allowBlank="1" showInputMessage="1" showErrorMessage="1" sqref="E11">
      <formula1>$BV$49:$BV$50</formula1>
    </dataValidation>
    <dataValidation type="list" allowBlank="1" showInputMessage="1" showErrorMessage="1" sqref="E6">
      <formula1>$BY$5:$BY$6</formula1>
    </dataValidation>
    <dataValidation type="whole" allowBlank="1" showInputMessage="1" showErrorMessage="1" sqref="E12">
      <formula1>150</formula1>
      <formula2>K4</formula2>
    </dataValidation>
    <dataValidation type="list" allowBlank="1" showInputMessage="1" showErrorMessage="1" sqref="Z3:AA3">
      <formula1>$CE$21:$CE$28</formula1>
    </dataValidation>
    <dataValidation type="list" allowBlank="1" showInputMessage="1" showErrorMessage="1" sqref="E7:H7">
      <formula1>$AY$47:$AY$59</formula1>
    </dataValidation>
  </dataValidations>
  <printOptions horizontalCentered="1" verticalCentered="1"/>
  <pageMargins left="0.11811023622047245" right="0.11811023622047245" top="0.74803149606299213" bottom="0.74803149606299213" header="0.31496062992125984" footer="0.31496062992125984"/>
  <pageSetup paperSize="9" scale="38" orientation="landscape" verticalDpi="1200" r:id="rId1"/>
  <ignoredErrors>
    <ignoredError sqref="O11" formula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7" id="{3DD69E6D-ABFC-429B-A7F7-C20BA496C769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E26:G26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theme="1"/>
    <pageSetUpPr fitToPage="1"/>
  </sheetPr>
  <dimension ref="A1:CI79"/>
  <sheetViews>
    <sheetView zoomScale="70" zoomScaleNormal="70" zoomScalePageLayoutView="110" workbookViewId="0">
      <selection activeCell="E3" sqref="E3:H3"/>
    </sheetView>
  </sheetViews>
  <sheetFormatPr defaultColWidth="8.88671875" defaultRowHeight="14.4" x14ac:dyDescent="0.3"/>
  <cols>
    <col min="1" max="1" width="1.77734375" style="54" customWidth="1"/>
    <col min="2" max="3" width="45.77734375" style="54" customWidth="1"/>
    <col min="4" max="8" width="14.77734375" style="54" customWidth="1"/>
    <col min="9" max="9" width="1.77734375" style="54" customWidth="1"/>
    <col min="10" max="10" width="35.77734375" style="54" customWidth="1"/>
    <col min="11" max="15" width="14.77734375" style="54" customWidth="1"/>
    <col min="16" max="16" width="1.77734375" style="5" customWidth="1"/>
    <col min="17" max="17" width="14.77734375" style="5" hidden="1" customWidth="1"/>
    <col min="18" max="18" width="14.77734375" style="331" customWidth="1"/>
    <col min="19" max="19" width="1.77734375" style="5" customWidth="1"/>
    <col min="20" max="20" width="24.77734375" style="5" customWidth="1"/>
    <col min="21" max="32" width="11.77734375" style="54" customWidth="1"/>
    <col min="33" max="33" width="14.77734375" style="54" customWidth="1"/>
    <col min="34" max="34" width="14.77734375" style="331" customWidth="1"/>
    <col min="35" max="46" width="5.77734375" style="331" hidden="1" customWidth="1"/>
    <col min="47" max="49" width="14.77734375" style="331" hidden="1" customWidth="1"/>
    <col min="50" max="50" width="8.5546875" style="54" hidden="1" customWidth="1"/>
    <col min="51" max="51" width="15.6640625" style="54" hidden="1" customWidth="1"/>
    <col min="52" max="53" width="11.21875" style="54" hidden="1" customWidth="1"/>
    <col min="54" max="54" width="11.109375" style="54" hidden="1" customWidth="1"/>
    <col min="55" max="55" width="11.44140625" style="54" hidden="1" customWidth="1"/>
    <col min="56" max="56" width="12.5546875" style="54" hidden="1" customWidth="1"/>
    <col min="57" max="57" width="12.6640625" style="54" hidden="1" customWidth="1"/>
    <col min="58" max="60" width="11.21875" style="54" hidden="1" customWidth="1"/>
    <col min="61" max="61" width="10.88671875" style="54" hidden="1" customWidth="1"/>
    <col min="62" max="62" width="11.44140625" style="54" hidden="1" customWidth="1"/>
    <col min="63" max="63" width="8.5546875" style="54" hidden="1" customWidth="1"/>
    <col min="64" max="64" width="11.21875" style="54" hidden="1" customWidth="1"/>
    <col min="65" max="69" width="8.5546875" style="54" hidden="1" customWidth="1"/>
    <col min="70" max="72" width="14.21875" style="54" hidden="1" customWidth="1"/>
    <col min="73" max="73" width="11.21875" style="54" hidden="1" customWidth="1"/>
    <col min="74" max="74" width="19.44140625" style="54" hidden="1" customWidth="1"/>
    <col min="75" max="75" width="8.88671875" style="54" hidden="1" customWidth="1"/>
    <col min="76" max="76" width="16.77734375" style="54" hidden="1" customWidth="1"/>
    <col min="77" max="77" width="26.77734375" style="54" hidden="1" customWidth="1"/>
    <col min="78" max="78" width="18.5546875" style="54" hidden="1" customWidth="1"/>
    <col min="79" max="87" width="8.88671875" style="54" hidden="1" customWidth="1"/>
    <col min="88" max="90" width="8.88671875" style="54" customWidth="1"/>
    <col min="91" max="16384" width="8.88671875" style="54"/>
  </cols>
  <sheetData>
    <row r="1" spans="1:83" ht="25.05" customHeight="1" x14ac:dyDescent="0.3">
      <c r="B1" s="524" t="s">
        <v>104</v>
      </c>
      <c r="C1" s="524"/>
      <c r="D1" s="524"/>
      <c r="E1" s="524"/>
      <c r="F1" s="524"/>
      <c r="G1" s="524"/>
      <c r="H1" s="524"/>
      <c r="I1" s="149"/>
      <c r="J1" s="524" t="s">
        <v>105</v>
      </c>
      <c r="K1" s="524"/>
      <c r="L1" s="524"/>
      <c r="M1" s="524"/>
      <c r="N1" s="524"/>
      <c r="O1" s="524"/>
      <c r="P1" s="244"/>
      <c r="Q1" s="244"/>
    </row>
    <row r="2" spans="1:83" ht="25.05" customHeight="1" thickBot="1" x14ac:dyDescent="0.35">
      <c r="A2" s="5"/>
      <c r="I2" s="104"/>
      <c r="J2" s="104"/>
      <c r="K2" s="104"/>
      <c r="L2" s="104"/>
      <c r="M2" s="104"/>
      <c r="N2" s="104"/>
      <c r="O2" s="104"/>
      <c r="P2" s="104"/>
      <c r="Q2" s="104"/>
      <c r="R2" s="297"/>
      <c r="S2" s="297"/>
      <c r="T2" s="297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297"/>
      <c r="AI2" s="297"/>
      <c r="AJ2" s="297"/>
      <c r="AK2" s="297"/>
      <c r="AL2" s="297"/>
      <c r="AM2" s="297"/>
      <c r="AN2" s="297"/>
      <c r="AO2" s="297"/>
      <c r="AP2" s="297"/>
      <c r="AQ2" s="297"/>
      <c r="AR2" s="297"/>
      <c r="AS2" s="297"/>
      <c r="AT2" s="297"/>
      <c r="AU2" s="297"/>
      <c r="AV2" s="297"/>
      <c r="AW2" s="297"/>
      <c r="AX2" s="104"/>
      <c r="AY2" s="104"/>
      <c r="AZ2" s="104"/>
      <c r="BA2" s="104"/>
      <c r="BB2" s="104"/>
      <c r="BC2" s="104"/>
      <c r="BD2" s="104"/>
      <c r="BE2" s="104"/>
      <c r="BF2" s="104"/>
      <c r="BI2" s="104"/>
      <c r="BJ2" s="104"/>
      <c r="BK2" s="104"/>
      <c r="BM2" s="104"/>
      <c r="BN2" s="104"/>
      <c r="BO2" s="104"/>
      <c r="BP2" s="104"/>
      <c r="BQ2" s="104"/>
      <c r="BR2" s="104"/>
      <c r="BS2" s="104"/>
      <c r="BT2" s="104"/>
    </row>
    <row r="3" spans="1:83" ht="25.05" customHeight="1" thickBot="1" x14ac:dyDescent="0.35">
      <c r="B3" s="527" t="s">
        <v>121</v>
      </c>
      <c r="C3" s="528"/>
      <c r="D3" s="528"/>
      <c r="E3" s="535">
        <v>2600</v>
      </c>
      <c r="F3" s="535"/>
      <c r="G3" s="535"/>
      <c r="H3" s="536"/>
      <c r="J3" s="550" t="s">
        <v>270</v>
      </c>
      <c r="K3" s="551"/>
      <c r="L3" s="5"/>
      <c r="M3" s="5"/>
      <c r="N3" s="437"/>
      <c r="O3" s="437"/>
      <c r="R3" s="3"/>
      <c r="S3" s="3"/>
      <c r="T3" s="3"/>
      <c r="V3" s="366"/>
      <c r="W3" s="607" t="s">
        <v>424</v>
      </c>
      <c r="X3" s="607"/>
      <c r="Y3" s="607"/>
      <c r="Z3" s="495" t="s">
        <v>425</v>
      </c>
      <c r="AA3" s="495"/>
      <c r="AB3" s="366"/>
      <c r="AC3" s="366"/>
      <c r="AD3" s="5"/>
      <c r="AE3" s="5"/>
      <c r="AF3" s="5"/>
      <c r="AG3" s="5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5"/>
      <c r="AY3" s="5"/>
      <c r="BE3" s="241" t="s">
        <v>425</v>
      </c>
      <c r="BV3" s="106"/>
    </row>
    <row r="4" spans="1:83" ht="25.05" customHeight="1" x14ac:dyDescent="0.3">
      <c r="B4" s="529" t="s">
        <v>120</v>
      </c>
      <c r="C4" s="530"/>
      <c r="D4" s="530"/>
      <c r="E4" s="537">
        <v>1000</v>
      </c>
      <c r="F4" s="537"/>
      <c r="G4" s="537"/>
      <c r="H4" s="538"/>
      <c r="J4" s="295" t="s">
        <v>15</v>
      </c>
      <c r="K4" s="306">
        <f>E3-20</f>
        <v>2580</v>
      </c>
      <c r="L4" s="5"/>
      <c r="M4" s="108"/>
      <c r="N4" s="108"/>
      <c r="O4" s="108"/>
      <c r="P4" s="108"/>
      <c r="Q4" s="108"/>
      <c r="R4" s="475" t="s">
        <v>460</v>
      </c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  <c r="AU4" s="89"/>
      <c r="AV4" s="89"/>
      <c r="AW4" s="89"/>
      <c r="AX4" s="5"/>
      <c r="AY4" s="5"/>
      <c r="BV4" s="106">
        <v>1</v>
      </c>
      <c r="BX4" s="2"/>
      <c r="BY4" s="1" t="s">
        <v>458</v>
      </c>
      <c r="BZ4" s="1" t="s">
        <v>244</v>
      </c>
      <c r="CA4" s="2">
        <f>IF(E6=BY4,9,8)</f>
        <v>8</v>
      </c>
    </row>
    <row r="5" spans="1:83" ht="25.05" customHeight="1" thickBot="1" x14ac:dyDescent="0.35">
      <c r="B5" s="529" t="s">
        <v>449</v>
      </c>
      <c r="C5" s="530"/>
      <c r="D5" s="530"/>
      <c r="E5" s="514">
        <v>0</v>
      </c>
      <c r="F5" s="514"/>
      <c r="G5" s="514"/>
      <c r="H5" s="515"/>
      <c r="J5" s="298" t="s">
        <v>16</v>
      </c>
      <c r="K5" s="307">
        <f>IF(E8=BV60,(E4-10*E9)/E9,ROUNDDOWN(IF(OR(E11=BV25,E11=BV26),(E4-4*E9)/E9,IF(OR(E11=BV27,E11=BV28),(E4-10*E9)/E9)),0))</f>
        <v>490</v>
      </c>
      <c r="L5" s="5"/>
      <c r="O5" s="5"/>
      <c r="R5" s="476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89"/>
      <c r="AI5" s="89"/>
      <c r="AJ5" s="89"/>
      <c r="AK5" s="89"/>
      <c r="AL5" s="89"/>
      <c r="AM5" s="89"/>
      <c r="AN5" s="89"/>
      <c r="AO5" s="89"/>
      <c r="AP5" s="89"/>
      <c r="AQ5" s="89"/>
      <c r="AR5" s="89"/>
      <c r="AS5" s="89"/>
      <c r="AT5" s="89"/>
      <c r="AU5" s="89"/>
      <c r="AV5" s="89"/>
      <c r="AW5" s="89"/>
      <c r="AX5" s="5"/>
      <c r="AY5" s="5"/>
      <c r="AZ5" s="141" t="s">
        <v>263</v>
      </c>
      <c r="BA5" s="141"/>
      <c r="BB5" s="141"/>
      <c r="BC5" s="185">
        <v>4950</v>
      </c>
      <c r="BD5" s="185"/>
      <c r="BE5" s="185"/>
      <c r="BF5" s="185"/>
      <c r="BG5" s="185"/>
      <c r="BH5" s="185"/>
      <c r="BI5" s="185"/>
      <c r="BJ5" s="185"/>
      <c r="BK5" s="185"/>
      <c r="BL5" s="185"/>
      <c r="BM5" s="186"/>
      <c r="BN5" s="186"/>
      <c r="BO5" s="186"/>
      <c r="BP5" s="186"/>
      <c r="BQ5" s="186"/>
      <c r="BR5" s="186"/>
      <c r="BS5" s="6"/>
      <c r="BT5" s="6"/>
      <c r="BV5" s="106">
        <v>2</v>
      </c>
      <c r="BX5" s="105"/>
      <c r="BY5" s="1" t="s">
        <v>459</v>
      </c>
      <c r="BZ5" s="1" t="s">
        <v>260</v>
      </c>
      <c r="CA5" s="105"/>
    </row>
    <row r="6" spans="1:83" ht="25.05" customHeight="1" thickBot="1" x14ac:dyDescent="0.35">
      <c r="B6" s="529" t="s">
        <v>243</v>
      </c>
      <c r="C6" s="530"/>
      <c r="D6" s="530"/>
      <c r="E6" s="514" t="s">
        <v>459</v>
      </c>
      <c r="F6" s="514"/>
      <c r="G6" s="514"/>
      <c r="H6" s="515"/>
      <c r="J6" s="5"/>
      <c r="K6" s="5"/>
      <c r="L6" s="5"/>
      <c r="M6" s="5"/>
      <c r="N6" s="5"/>
      <c r="O6" s="5"/>
      <c r="R6" s="89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5"/>
      <c r="AY6" s="5"/>
      <c r="AZ6" s="141" t="s">
        <v>264</v>
      </c>
      <c r="BA6" s="141"/>
      <c r="BB6" s="141"/>
      <c r="BC6" s="141">
        <v>5025</v>
      </c>
      <c r="BD6" s="185"/>
      <c r="BE6" s="141"/>
      <c r="BF6" s="141"/>
      <c r="BG6" s="141"/>
      <c r="BH6" s="141"/>
      <c r="BI6" s="141"/>
      <c r="BJ6" s="141"/>
      <c r="BK6" s="141"/>
      <c r="BL6" s="141"/>
      <c r="BM6" s="186"/>
      <c r="BN6" s="186"/>
      <c r="BO6" s="186"/>
      <c r="BP6" s="186"/>
      <c r="BQ6" s="186"/>
      <c r="BR6" s="186"/>
      <c r="BS6" s="6"/>
      <c r="BT6" s="6"/>
    </row>
    <row r="7" spans="1:83" ht="25.05" customHeight="1" x14ac:dyDescent="0.3">
      <c r="B7" s="529" t="s">
        <v>122</v>
      </c>
      <c r="C7" s="530"/>
      <c r="D7" s="530"/>
      <c r="E7" s="514" t="s">
        <v>234</v>
      </c>
      <c r="F7" s="514"/>
      <c r="G7" s="514"/>
      <c r="H7" s="515"/>
      <c r="J7" s="593" t="s">
        <v>182</v>
      </c>
      <c r="K7" s="594"/>
      <c r="L7" s="594"/>
      <c r="M7" s="594"/>
      <c r="N7" s="428"/>
      <c r="O7" s="135"/>
      <c r="P7" s="324"/>
      <c r="Q7" s="324"/>
      <c r="R7" s="258"/>
      <c r="S7" s="194"/>
      <c r="T7" s="358"/>
      <c r="U7" s="606" t="s">
        <v>100</v>
      </c>
      <c r="V7" s="606"/>
      <c r="W7" s="498"/>
      <c r="X7" s="498"/>
      <c r="Y7" s="498"/>
      <c r="Z7" s="498"/>
      <c r="AA7" s="498"/>
      <c r="AB7" s="498"/>
      <c r="AC7" s="498"/>
      <c r="AD7" s="498"/>
      <c r="AE7" s="498"/>
      <c r="AF7" s="498"/>
      <c r="AG7" s="498"/>
      <c r="AH7" s="499"/>
      <c r="AI7" s="280"/>
      <c r="AJ7" s="280"/>
      <c r="AK7" s="280"/>
      <c r="AL7" s="280"/>
      <c r="AM7" s="280"/>
      <c r="AN7" s="280"/>
      <c r="AO7" s="280"/>
      <c r="AP7" s="280"/>
      <c r="AQ7" s="280"/>
      <c r="AR7" s="280"/>
      <c r="AS7" s="280"/>
      <c r="AT7" s="280"/>
      <c r="AU7" s="280"/>
      <c r="AV7" s="280"/>
      <c r="AW7" s="280"/>
      <c r="AX7" s="3" t="s">
        <v>272</v>
      </c>
      <c r="AY7" s="3"/>
      <c r="AZ7" s="185" t="s">
        <v>265</v>
      </c>
      <c r="BA7" s="185"/>
      <c r="BB7" s="185"/>
      <c r="BC7" s="141">
        <v>5350</v>
      </c>
      <c r="BD7" s="185"/>
      <c r="BE7" s="141"/>
      <c r="BF7" s="141"/>
      <c r="BG7" s="141"/>
      <c r="BH7" s="141"/>
      <c r="BI7" s="141"/>
      <c r="BJ7" s="141"/>
      <c r="BK7" s="141"/>
      <c r="BL7" s="141"/>
      <c r="BM7" s="186"/>
      <c r="BN7" s="186"/>
      <c r="BO7" s="186"/>
      <c r="BP7" s="186"/>
      <c r="BQ7" s="186"/>
      <c r="BR7" s="186"/>
      <c r="BS7" s="6"/>
      <c r="BT7" s="6"/>
    </row>
    <row r="8" spans="1:83" ht="25.05" customHeight="1" x14ac:dyDescent="0.3">
      <c r="B8" s="529" t="s">
        <v>241</v>
      </c>
      <c r="C8" s="530"/>
      <c r="D8" s="530"/>
      <c r="E8" s="514" t="s">
        <v>240</v>
      </c>
      <c r="F8" s="514"/>
      <c r="G8" s="514"/>
      <c r="H8" s="515"/>
      <c r="J8" s="411" t="s">
        <v>0</v>
      </c>
      <c r="K8" s="412" t="s">
        <v>1</v>
      </c>
      <c r="L8" s="412" t="s">
        <v>7</v>
      </c>
      <c r="M8" s="412" t="s">
        <v>9</v>
      </c>
      <c r="N8" s="205" t="s">
        <v>101</v>
      </c>
      <c r="O8" s="239" t="s">
        <v>23</v>
      </c>
      <c r="P8" s="140"/>
      <c r="Q8" s="140"/>
      <c r="R8" s="259" t="s">
        <v>24</v>
      </c>
      <c r="S8" s="140"/>
      <c r="T8" s="319"/>
      <c r="U8" s="193">
        <v>1000</v>
      </c>
      <c r="V8" s="193">
        <v>1250</v>
      </c>
      <c r="W8" s="96">
        <v>1800</v>
      </c>
      <c r="X8" s="96">
        <v>2000</v>
      </c>
      <c r="Y8" s="96">
        <v>2500</v>
      </c>
      <c r="Z8" s="96">
        <v>2700</v>
      </c>
      <c r="AA8" s="96">
        <v>3000</v>
      </c>
      <c r="AB8" s="96">
        <v>3600</v>
      </c>
      <c r="AC8" s="96">
        <v>3750</v>
      </c>
      <c r="AD8" s="96">
        <v>4000</v>
      </c>
      <c r="AE8" s="96">
        <v>5000</v>
      </c>
      <c r="AF8" s="96">
        <v>5400</v>
      </c>
      <c r="AG8" s="205" t="s">
        <v>101</v>
      </c>
      <c r="AH8" s="52" t="s">
        <v>24</v>
      </c>
      <c r="AI8" s="452"/>
      <c r="AJ8" s="452"/>
      <c r="AK8" s="452"/>
      <c r="AL8" s="452"/>
      <c r="AM8" s="452"/>
      <c r="AN8" s="452"/>
      <c r="AO8" s="452"/>
      <c r="AP8" s="452"/>
      <c r="AQ8" s="452"/>
      <c r="AR8" s="452"/>
      <c r="AS8" s="452"/>
      <c r="AT8" s="452"/>
      <c r="AU8" s="452"/>
      <c r="AV8" s="452"/>
      <c r="AW8" s="452"/>
      <c r="AX8" s="53"/>
      <c r="AY8" s="53"/>
      <c r="AZ8" s="96">
        <v>1000</v>
      </c>
      <c r="BA8" s="96">
        <v>1250</v>
      </c>
      <c r="BB8" s="96">
        <v>1800</v>
      </c>
      <c r="BC8" s="96">
        <v>2000</v>
      </c>
      <c r="BD8" s="96">
        <v>2500</v>
      </c>
      <c r="BE8" s="96">
        <v>2700</v>
      </c>
      <c r="BF8" s="96">
        <v>3000</v>
      </c>
      <c r="BG8" s="96">
        <v>3600</v>
      </c>
      <c r="BH8" s="96">
        <v>3750</v>
      </c>
      <c r="BI8" s="96">
        <v>4000</v>
      </c>
      <c r="BJ8" s="96">
        <v>5000</v>
      </c>
      <c r="BK8" s="142">
        <v>5400</v>
      </c>
      <c r="BL8" s="187"/>
      <c r="BM8" s="186"/>
      <c r="BN8" s="186"/>
      <c r="BO8" s="186"/>
      <c r="BP8" s="186"/>
      <c r="BQ8" s="186"/>
      <c r="BR8" s="186"/>
      <c r="BS8" s="6"/>
      <c r="BT8" s="6" t="s">
        <v>128</v>
      </c>
      <c r="BV8" s="65" t="s">
        <v>10</v>
      </c>
    </row>
    <row r="9" spans="1:83" ht="25.05" customHeight="1" x14ac:dyDescent="0.35">
      <c r="B9" s="531" t="s">
        <v>124</v>
      </c>
      <c r="C9" s="532"/>
      <c r="D9" s="532"/>
      <c r="E9" s="603">
        <v>2</v>
      </c>
      <c r="F9" s="603"/>
      <c r="G9" s="603"/>
      <c r="H9" s="604"/>
      <c r="J9" s="431" t="s">
        <v>2</v>
      </c>
      <c r="K9" s="238" t="s">
        <v>190</v>
      </c>
      <c r="L9" s="125">
        <f>K4</f>
        <v>2580</v>
      </c>
      <c r="M9" s="126">
        <f>IF(AND(E3&gt;0,E9=BV4),2,IF(AND(E3&gt;0,E9=BV5),4,0))</f>
        <v>4</v>
      </c>
      <c r="N9" s="126"/>
      <c r="O9" s="339">
        <f>IF(L9&gt;2650,M9,M9/2)</f>
        <v>2</v>
      </c>
      <c r="P9" s="269"/>
      <c r="Q9" s="269"/>
      <c r="R9" s="260">
        <f>O9*BT9</f>
        <v>10821.96</v>
      </c>
      <c r="S9" s="255"/>
      <c r="T9" s="320" t="str">
        <f>J9</f>
        <v>вертикальный профиль</v>
      </c>
      <c r="U9" s="276">
        <f>IF($Z$3=$CE$21,AZ9,IF($Z$3=$CE$27,AZ30,IF($Z$3=$CE$28,AZ41,AZ19)))</f>
        <v>0</v>
      </c>
      <c r="V9" s="276">
        <f t="shared" ref="V9:AF9" si="0">IF($Z$3=$CE$21,BA9,IF($Z$3=$CE$27,BA30,IF($Z$3=$CE$28,BA41,BA19)))</f>
        <v>0</v>
      </c>
      <c r="W9" s="276">
        <f t="shared" si="0"/>
        <v>0</v>
      </c>
      <c r="X9" s="276">
        <f t="shared" si="0"/>
        <v>0</v>
      </c>
      <c r="Y9" s="276">
        <f t="shared" si="0"/>
        <v>0</v>
      </c>
      <c r="Z9" s="276">
        <f t="shared" si="0"/>
        <v>0</v>
      </c>
      <c r="AA9" s="276">
        <f t="shared" si="0"/>
        <v>0</v>
      </c>
      <c r="AB9" s="276">
        <f t="shared" si="0"/>
        <v>0</v>
      </c>
      <c r="AC9" s="276">
        <f t="shared" si="0"/>
        <v>0</v>
      </c>
      <c r="AD9" s="276">
        <f t="shared" si="0"/>
        <v>0</v>
      </c>
      <c r="AE9" s="276">
        <f t="shared" si="0"/>
        <v>0</v>
      </c>
      <c r="AF9" s="276">
        <f t="shared" si="0"/>
        <v>2</v>
      </c>
      <c r="AG9" s="123"/>
      <c r="AH9" s="433">
        <f>R9</f>
        <v>10821.96</v>
      </c>
      <c r="AI9" s="463"/>
      <c r="AJ9" s="463"/>
      <c r="AK9" s="463"/>
      <c r="AL9" s="463"/>
      <c r="AM9" s="463"/>
      <c r="AN9" s="463"/>
      <c r="AO9" s="463"/>
      <c r="AP9" s="463"/>
      <c r="AQ9" s="463"/>
      <c r="AR9" s="463"/>
      <c r="AS9" s="463"/>
      <c r="AT9" s="463"/>
      <c r="AU9" s="463"/>
      <c r="AV9" s="463"/>
      <c r="AW9" s="463"/>
      <c r="AX9" s="362">
        <v>0.69</v>
      </c>
      <c r="AY9" s="3">
        <f>AX9*L9*M9/1000</f>
        <v>7.1207999999999991</v>
      </c>
      <c r="AZ9" s="141">
        <v>0</v>
      </c>
      <c r="BA9" s="141">
        <v>0</v>
      </c>
      <c r="BB9" s="141">
        <v>0</v>
      </c>
      <c r="BC9" s="141">
        <v>0</v>
      </c>
      <c r="BD9" s="141">
        <v>0</v>
      </c>
      <c r="BE9" s="141">
        <v>0</v>
      </c>
      <c r="BF9" s="141">
        <v>0</v>
      </c>
      <c r="BG9" s="141">
        <v>0</v>
      </c>
      <c r="BH9" s="141">
        <v>0</v>
      </c>
      <c r="BI9" s="141">
        <v>0</v>
      </c>
      <c r="BJ9" s="141">
        <v>0</v>
      </c>
      <c r="BK9" s="315">
        <f>O9</f>
        <v>2</v>
      </c>
      <c r="BL9" s="185"/>
      <c r="BM9" s="141"/>
      <c r="BN9" s="141"/>
      <c r="BO9" s="141"/>
      <c r="BP9" s="188"/>
      <c r="BQ9" s="188"/>
      <c r="BR9" s="188"/>
      <c r="BS9" s="144"/>
      <c r="BT9" s="144">
        <f t="array" ref="BT9">INDEX(Цены!J:J,MATCH(J9&amp;$E$7,Цены!C:C&amp;Цены!G:G,0))</f>
        <v>5410.98</v>
      </c>
      <c r="BV9" s="65" t="s">
        <v>11</v>
      </c>
      <c r="CE9" s="1" t="s">
        <v>462</v>
      </c>
    </row>
    <row r="10" spans="1:83" ht="25.05" customHeight="1" x14ac:dyDescent="0.3">
      <c r="B10" s="531" t="s">
        <v>167</v>
      </c>
      <c r="C10" s="532"/>
      <c r="D10" s="532"/>
      <c r="E10" s="577" t="s">
        <v>169</v>
      </c>
      <c r="F10" s="577"/>
      <c r="G10" s="577"/>
      <c r="H10" s="578"/>
      <c r="J10" s="431" t="s">
        <v>3</v>
      </c>
      <c r="K10" s="238" t="s">
        <v>259</v>
      </c>
      <c r="L10" s="125">
        <f>K5-78</f>
        <v>412</v>
      </c>
      <c r="M10" s="126">
        <f>IF(E4=0,0,E9*2)</f>
        <v>4</v>
      </c>
      <c r="N10" s="417">
        <f t="shared" ref="N10" si="1">L10*M10</f>
        <v>1648</v>
      </c>
      <c r="O10" s="422">
        <f>BM10+IF(BL10&gt;0,1,0)</f>
        <v>1</v>
      </c>
      <c r="P10" s="269"/>
      <c r="Q10" s="269"/>
      <c r="R10" s="260">
        <f>O10*BT10</f>
        <v>3267.15</v>
      </c>
      <c r="S10" s="255"/>
      <c r="T10" s="320" t="str">
        <f t="shared" ref="T10" si="2">J10</f>
        <v>рамка верхняя</v>
      </c>
      <c r="U10" s="276">
        <f t="shared" ref="U10:U12" si="3">IF($Z$3=$CE$21,AZ10,IF($Z$3=$CE$27,AZ31,IF($Z$3=$CE$28,AZ42,AZ20)))</f>
        <v>0</v>
      </c>
      <c r="V10" s="276">
        <f t="shared" ref="V10:V12" si="4">IF($Z$3=$CE$21,BA10,IF($Z$3=$CE$27,BA31,IF($Z$3=$CE$28,BA42,BA20)))</f>
        <v>0</v>
      </c>
      <c r="W10" s="276">
        <f t="shared" ref="W10:W12" si="5">IF($Z$3=$CE$21,BB10,IF($Z$3=$CE$27,BB31,IF($Z$3=$CE$28,BB42,BB20)))</f>
        <v>0</v>
      </c>
      <c r="X10" s="276">
        <f t="shared" ref="X10:X12" si="6">IF($Z$3=$CE$21,BC10,IF($Z$3=$CE$27,BC31,IF($Z$3=$CE$28,BC42,BC20)))</f>
        <v>1</v>
      </c>
      <c r="Y10" s="276">
        <f t="shared" ref="Y10:Y12" si="7">IF($Z$3=$CE$21,BD10,IF($Z$3=$CE$27,BD31,IF($Z$3=$CE$28,BD42,BD20)))</f>
        <v>0</v>
      </c>
      <c r="Z10" s="276">
        <f t="shared" ref="Z10:Z12" si="8">IF($Z$3=$CE$21,BE10,IF($Z$3=$CE$27,BE31,IF($Z$3=$CE$28,BE42,BE20)))</f>
        <v>0</v>
      </c>
      <c r="AA10" s="276">
        <f t="shared" ref="AA10:AA12" si="9">IF($Z$3=$CE$21,BF10,IF($Z$3=$CE$27,BF31,IF($Z$3=$CE$28,BF42,BF20)))</f>
        <v>0</v>
      </c>
      <c r="AB10" s="276">
        <f t="shared" ref="AB10:AB12" si="10">IF($Z$3=$CE$21,BG10,IF($Z$3=$CE$27,BG31,IF($Z$3=$CE$28,BG42,BG20)))</f>
        <v>0</v>
      </c>
      <c r="AC10" s="276">
        <f t="shared" ref="AC10:AC12" si="11">IF($Z$3=$CE$21,BH10,IF($Z$3=$CE$27,BH31,IF($Z$3=$CE$28,BH42,BH20)))</f>
        <v>0</v>
      </c>
      <c r="AD10" s="276">
        <f t="shared" ref="AD10:AD12" si="12">IF($Z$3=$CE$21,BI10,IF($Z$3=$CE$27,BI31,IF($Z$3=$CE$28,BI42,BI20)))</f>
        <v>0</v>
      </c>
      <c r="AE10" s="276">
        <f t="shared" ref="AE10:AE12" si="13">IF($Z$3=$CE$21,BJ10,IF($Z$3=$CE$27,BJ31,IF($Z$3=$CE$28,BJ42,BJ20)))</f>
        <v>0</v>
      </c>
      <c r="AF10" s="276">
        <f t="shared" ref="AF10:AF12" si="14">IF($Z$3=$CE$21,BK10,IF($Z$3=$CE$27,BK31,IF($Z$3=$CE$28,BK42,BK20)))</f>
        <v>0</v>
      </c>
      <c r="AG10" s="417">
        <f>AU10</f>
        <v>2000</v>
      </c>
      <c r="AH10" s="421">
        <f>(U10*0.2+V10*0.25+X10*0.4+Y10*0.5+AA10*0.6+AC10*0.75+AD10*0.8+AE10)*BT10</f>
        <v>1306.8600000000001</v>
      </c>
      <c r="AI10" s="453">
        <f>U10*U8</f>
        <v>0</v>
      </c>
      <c r="AJ10" s="453">
        <f t="shared" ref="AJ10:AT10" si="15">V10*V8</f>
        <v>0</v>
      </c>
      <c r="AK10" s="453">
        <f t="shared" si="15"/>
        <v>0</v>
      </c>
      <c r="AL10" s="453">
        <f t="shared" si="15"/>
        <v>2000</v>
      </c>
      <c r="AM10" s="453">
        <f t="shared" si="15"/>
        <v>0</v>
      </c>
      <c r="AN10" s="453">
        <f t="shared" si="15"/>
        <v>0</v>
      </c>
      <c r="AO10" s="453">
        <f t="shared" si="15"/>
        <v>0</v>
      </c>
      <c r="AP10" s="453">
        <f t="shared" si="15"/>
        <v>0</v>
      </c>
      <c r="AQ10" s="453">
        <f t="shared" si="15"/>
        <v>0</v>
      </c>
      <c r="AR10" s="453">
        <f t="shared" si="15"/>
        <v>0</v>
      </c>
      <c r="AS10" s="453">
        <f t="shared" si="15"/>
        <v>0</v>
      </c>
      <c r="AT10" s="453">
        <f t="shared" si="15"/>
        <v>0</v>
      </c>
      <c r="AU10" s="453">
        <f>SUM(AI10:AT10)</f>
        <v>2000</v>
      </c>
      <c r="AV10" s="453"/>
      <c r="AW10" s="453"/>
      <c r="AX10" s="363">
        <v>0.47399999999999998</v>
      </c>
      <c r="AY10" s="3">
        <f>AX10*L10*M10/1000</f>
        <v>0.78115199999999996</v>
      </c>
      <c r="AZ10" s="141">
        <f>IF(AND(BL10&gt;0,BL10&lt;=1000),1,0)</f>
        <v>0</v>
      </c>
      <c r="BA10" s="143">
        <v>0</v>
      </c>
      <c r="BB10" s="143">
        <v>0</v>
      </c>
      <c r="BC10" s="141">
        <f>IF(AND(BL10&gt;1000,BL10&lt;=2000),1,0)</f>
        <v>1</v>
      </c>
      <c r="BD10" s="143">
        <v>0</v>
      </c>
      <c r="BE10" s="143">
        <v>0</v>
      </c>
      <c r="BF10" s="141">
        <f>IF(AND(BL10&gt;2000,BL10&lt;=3000),1,0)</f>
        <v>0</v>
      </c>
      <c r="BG10" s="143">
        <v>0</v>
      </c>
      <c r="BH10" s="143">
        <v>0</v>
      </c>
      <c r="BI10" s="141">
        <f>IF(AND(BL10&gt;3000,BL10&lt;=4000),1,0)</f>
        <v>0</v>
      </c>
      <c r="BJ10" s="141">
        <f>IF(AND(BL10&gt;4000,BL10&lt;=4950),BM10+1,BM10)</f>
        <v>0</v>
      </c>
      <c r="BK10" s="143">
        <v>0</v>
      </c>
      <c r="BL10" s="185">
        <f>N10-INT($BC$5/L10)*L10*BM10</f>
        <v>1648</v>
      </c>
      <c r="BM10" s="141">
        <f>INT(M10/INT($BC$5/L10))</f>
        <v>0</v>
      </c>
      <c r="BN10" s="141"/>
      <c r="BO10" s="141"/>
      <c r="BP10" s="188"/>
      <c r="BQ10" s="188" t="s">
        <v>266</v>
      </c>
      <c r="BR10" s="189" t="s">
        <v>267</v>
      </c>
      <c r="BS10" s="152"/>
      <c r="BT10" s="3">
        <f t="array" ref="BT10">INDEX(Цены!J:J,MATCH(J10&amp;$E$7,Цены!C:C&amp;Цены!G:G,0))</f>
        <v>3267.15</v>
      </c>
      <c r="BV10" s="65" t="s">
        <v>12</v>
      </c>
      <c r="CE10" s="1" t="s">
        <v>460</v>
      </c>
    </row>
    <row r="11" spans="1:83" ht="25.05" customHeight="1" x14ac:dyDescent="0.3">
      <c r="B11" s="516" t="s">
        <v>158</v>
      </c>
      <c r="C11" s="517"/>
      <c r="D11" s="517"/>
      <c r="E11" s="577" t="s">
        <v>129</v>
      </c>
      <c r="F11" s="577"/>
      <c r="G11" s="577"/>
      <c r="H11" s="578"/>
      <c r="J11" s="133" t="str">
        <f>E6</f>
        <v>рамка средняя 4в1</v>
      </c>
      <c r="K11" s="238" t="str">
        <f>IF(J11=BY4,BZ4,BZ5)</f>
        <v>FA0716.VP500</v>
      </c>
      <c r="L11" s="125">
        <f>IF(AND(E6=BY5,E5&gt;0),K5-78,IF(AND(E6=BY4,E5&gt;0),K5-76,0))</f>
        <v>0</v>
      </c>
      <c r="M11" s="126">
        <f>E5*E9</f>
        <v>0</v>
      </c>
      <c r="N11" s="417">
        <f>L11*M11</f>
        <v>0</v>
      </c>
      <c r="O11" s="422">
        <f>IF(J11=BY5,BM11+IF(BL11&gt;0,1,0),BP11+IF(BO11&gt;0,1,0))</f>
        <v>0</v>
      </c>
      <c r="P11" s="269"/>
      <c r="Q11" s="269"/>
      <c r="R11" s="260">
        <f>O11*BT11</f>
        <v>0</v>
      </c>
      <c r="S11" s="255"/>
      <c r="T11" s="320" t="str">
        <f>J11</f>
        <v>рамка средняя 4в1</v>
      </c>
      <c r="U11" s="276">
        <f t="shared" si="3"/>
        <v>0</v>
      </c>
      <c r="V11" s="276">
        <f t="shared" si="4"/>
        <v>0</v>
      </c>
      <c r="W11" s="276">
        <f t="shared" si="5"/>
        <v>0</v>
      </c>
      <c r="X11" s="276">
        <f t="shared" si="6"/>
        <v>0</v>
      </c>
      <c r="Y11" s="276">
        <f t="shared" si="7"/>
        <v>0</v>
      </c>
      <c r="Z11" s="276">
        <f t="shared" si="8"/>
        <v>0</v>
      </c>
      <c r="AA11" s="276">
        <f t="shared" si="9"/>
        <v>0</v>
      </c>
      <c r="AB11" s="276">
        <f t="shared" si="10"/>
        <v>0</v>
      </c>
      <c r="AC11" s="276">
        <f t="shared" si="11"/>
        <v>0</v>
      </c>
      <c r="AD11" s="276">
        <f t="shared" si="12"/>
        <v>0</v>
      </c>
      <c r="AE11" s="276">
        <f t="shared" si="13"/>
        <v>0</v>
      </c>
      <c r="AF11" s="276">
        <f t="shared" si="14"/>
        <v>0</v>
      </c>
      <c r="AG11" s="417">
        <f t="shared" ref="AG11:AG12" si="16">AU11</f>
        <v>0</v>
      </c>
      <c r="AH11" s="424">
        <f>IF(E6=BY4,AW12,AV12)</f>
        <v>0</v>
      </c>
      <c r="AI11" s="453">
        <f>U11*U8</f>
        <v>0</v>
      </c>
      <c r="AJ11" s="453">
        <f t="shared" ref="AJ11:AT11" si="17">V11*V8</f>
        <v>0</v>
      </c>
      <c r="AK11" s="453">
        <f t="shared" si="17"/>
        <v>0</v>
      </c>
      <c r="AL11" s="453">
        <f t="shared" si="17"/>
        <v>0</v>
      </c>
      <c r="AM11" s="453">
        <f t="shared" si="17"/>
        <v>0</v>
      </c>
      <c r="AN11" s="453">
        <f t="shared" si="17"/>
        <v>0</v>
      </c>
      <c r="AO11" s="453">
        <f t="shared" si="17"/>
        <v>0</v>
      </c>
      <c r="AP11" s="453">
        <f t="shared" si="17"/>
        <v>0</v>
      </c>
      <c r="AQ11" s="453">
        <f t="shared" si="17"/>
        <v>0</v>
      </c>
      <c r="AR11" s="453">
        <f t="shared" si="17"/>
        <v>0</v>
      </c>
      <c r="AS11" s="453">
        <f t="shared" si="17"/>
        <v>0</v>
      </c>
      <c r="AT11" s="453">
        <f t="shared" si="17"/>
        <v>0</v>
      </c>
      <c r="AU11" s="453">
        <f t="shared" ref="AU11:AU12" si="18">SUM(AI11:AT11)</f>
        <v>0</v>
      </c>
      <c r="AV11" s="188" t="s">
        <v>266</v>
      </c>
      <c r="AW11" s="189" t="s">
        <v>267</v>
      </c>
      <c r="AX11" s="363">
        <v>0.58499999999999996</v>
      </c>
      <c r="AY11" s="3">
        <f>AX11*L11*M11/1000</f>
        <v>0</v>
      </c>
      <c r="AZ11" s="190">
        <f>IF(AND(J11=BY5,BL11&gt;0,BL11&lt;=1000),1,0)</f>
        <v>0</v>
      </c>
      <c r="BA11" s="143">
        <v>0</v>
      </c>
      <c r="BB11" s="191">
        <f>IF(AND(J11=BY4,BO11&gt;0,BO11&lt;=1800),1,0)</f>
        <v>0</v>
      </c>
      <c r="BC11" s="190">
        <f>IF(AND(J11=BY5,BL11&gt;1000,BL11&lt;=2000),1,0)</f>
        <v>0</v>
      </c>
      <c r="BD11" s="143">
        <v>0</v>
      </c>
      <c r="BE11" s="191">
        <f>IF(AND(J11=BY4,BO11&gt;1800,BO11&lt;=2700),1,0)</f>
        <v>0</v>
      </c>
      <c r="BF11" s="190">
        <f>IF(AND(J11=BY5,BL11&gt;2000,BL11&lt;=3000),1,0)</f>
        <v>0</v>
      </c>
      <c r="BG11" s="191">
        <f>IF(AND(J11=BY4,BO11&gt;2700,BO11&lt;=3600),1,0)</f>
        <v>0</v>
      </c>
      <c r="BH11" s="143">
        <v>0</v>
      </c>
      <c r="BI11" s="190">
        <f>IF(AND(J11=BY5,BL11&gt;3000,BL11&lt;=4000),1,0)</f>
        <v>0</v>
      </c>
      <c r="BJ11" s="190">
        <f>IF(AND(J11=BY5,BL11&gt;4000,BL11&lt;=4950),BM11+1,BM11)</f>
        <v>0</v>
      </c>
      <c r="BK11" s="191">
        <f>IF(AND(J11=BY4,BO11&gt;3600,BO11&lt;=5350),BP11+1,BP11)</f>
        <v>0</v>
      </c>
      <c r="BL11" s="185">
        <f>IF(E5&lt;&gt;0,N11-INT(BC5/L11)*L11*BM11,0)</f>
        <v>0</v>
      </c>
      <c r="BM11" s="141">
        <f>IF(AND(E6=BY5,E5&lt;&gt;0),INT(M11/INT(BC5/L11)),0)</f>
        <v>0</v>
      </c>
      <c r="BN11" s="141"/>
      <c r="BO11" s="141">
        <f>IF(E5&lt;&gt;0,N11-INT(BC5/L11)*L11*BP11,0)</f>
        <v>0</v>
      </c>
      <c r="BP11" s="188">
        <f>IF(AND(E6=BY5,E5&lt;&gt;0),INT(M11/INT(BC5/L11)),0)</f>
        <v>0</v>
      </c>
      <c r="BQ11" s="188">
        <f>(U11*0.2+X11*0.4+AA11*0.6+AD11*0.8+AE11)*BT11</f>
        <v>0</v>
      </c>
      <c r="BR11" s="188">
        <f>(W11*0.34+Z11*0.5+AB11*0.67+AF11)*BT11</f>
        <v>0</v>
      </c>
      <c r="BS11" s="144"/>
      <c r="BT11" s="3">
        <f t="array" ref="BT11">INDEX(Цены!J:J,MATCH(J11&amp;$E$7,Цены!C:C&amp;Цены!G:G,0))</f>
        <v>3828.23</v>
      </c>
      <c r="BV11" s="5"/>
      <c r="CE11" s="1" t="s">
        <v>461</v>
      </c>
    </row>
    <row r="12" spans="1:83" ht="25.05" customHeight="1" thickBot="1" x14ac:dyDescent="0.4">
      <c r="B12" s="595" t="s">
        <v>171</v>
      </c>
      <c r="C12" s="596"/>
      <c r="D12" s="596"/>
      <c r="E12" s="609">
        <v>0</v>
      </c>
      <c r="F12" s="609"/>
      <c r="G12" s="609"/>
      <c r="H12" s="610"/>
      <c r="J12" s="431" t="s">
        <v>17</v>
      </c>
      <c r="K12" s="238" t="s">
        <v>202</v>
      </c>
      <c r="L12" s="125">
        <f>E13</f>
        <v>540</v>
      </c>
      <c r="M12" s="126">
        <f>E9</f>
        <v>2</v>
      </c>
      <c r="N12" s="417">
        <f>L12*M12</f>
        <v>1080</v>
      </c>
      <c r="O12" s="422">
        <f>CEILING((L12*M12)/5400,1)</f>
        <v>1</v>
      </c>
      <c r="P12" s="269"/>
      <c r="Q12" s="269"/>
      <c r="R12" s="260">
        <f>O12*BT12</f>
        <v>1331.09</v>
      </c>
      <c r="S12" s="255"/>
      <c r="T12" s="320" t="str">
        <f>J12</f>
        <v>ручка-рейлинг</v>
      </c>
      <c r="U12" s="276">
        <f t="shared" si="3"/>
        <v>0</v>
      </c>
      <c r="V12" s="276">
        <f t="shared" si="4"/>
        <v>0</v>
      </c>
      <c r="W12" s="276">
        <f t="shared" si="5"/>
        <v>0</v>
      </c>
      <c r="X12" s="276">
        <f t="shared" si="6"/>
        <v>0</v>
      </c>
      <c r="Y12" s="276">
        <f t="shared" si="7"/>
        <v>0</v>
      </c>
      <c r="Z12" s="276">
        <f t="shared" si="8"/>
        <v>1</v>
      </c>
      <c r="AA12" s="276">
        <f t="shared" si="9"/>
        <v>0</v>
      </c>
      <c r="AB12" s="276">
        <f t="shared" si="10"/>
        <v>0</v>
      </c>
      <c r="AC12" s="276">
        <f t="shared" si="11"/>
        <v>0</v>
      </c>
      <c r="AD12" s="276">
        <f t="shared" si="12"/>
        <v>0</v>
      </c>
      <c r="AE12" s="276">
        <f t="shared" si="13"/>
        <v>0</v>
      </c>
      <c r="AF12" s="276">
        <f t="shared" si="14"/>
        <v>0</v>
      </c>
      <c r="AG12" s="417">
        <f t="shared" si="16"/>
        <v>2700</v>
      </c>
      <c r="AH12" s="360">
        <f>(Z12*0.5+AF12)*BT12</f>
        <v>665.54499999999996</v>
      </c>
      <c r="AI12" s="453">
        <f>U12*U8</f>
        <v>0</v>
      </c>
      <c r="AJ12" s="453">
        <f t="shared" ref="AJ12:AT12" si="19">V12*V8</f>
        <v>0</v>
      </c>
      <c r="AK12" s="453">
        <f t="shared" si="19"/>
        <v>0</v>
      </c>
      <c r="AL12" s="453">
        <f t="shared" si="19"/>
        <v>0</v>
      </c>
      <c r="AM12" s="453">
        <f t="shared" si="19"/>
        <v>0</v>
      </c>
      <c r="AN12" s="453">
        <f t="shared" si="19"/>
        <v>2700</v>
      </c>
      <c r="AO12" s="453">
        <f t="shared" si="19"/>
        <v>0</v>
      </c>
      <c r="AP12" s="453">
        <f t="shared" si="19"/>
        <v>0</v>
      </c>
      <c r="AQ12" s="453">
        <f t="shared" si="19"/>
        <v>0</v>
      </c>
      <c r="AR12" s="453">
        <f t="shared" si="19"/>
        <v>0</v>
      </c>
      <c r="AS12" s="453">
        <f t="shared" si="19"/>
        <v>0</v>
      </c>
      <c r="AT12" s="453">
        <f t="shared" si="19"/>
        <v>0</v>
      </c>
      <c r="AU12" s="453">
        <f t="shared" si="18"/>
        <v>2700</v>
      </c>
      <c r="AV12" s="256">
        <f>(U11*0.2+V11*0.25+X11*0.4+Y11*0.5+AA11*0.6+AC11*0.75+AD11*0.8+AE11)*BT11</f>
        <v>0</v>
      </c>
      <c r="AW12" s="256">
        <f>(W11*0.34+Z11*0.5+AB11*0.67+AF11)*BT11</f>
        <v>0</v>
      </c>
      <c r="AX12" s="364">
        <v>0.33600000000000002</v>
      </c>
      <c r="AY12" s="3">
        <f>AX12*L11*M11/1000</f>
        <v>0</v>
      </c>
      <c r="AZ12" s="192">
        <v>0</v>
      </c>
      <c r="BA12" s="192">
        <v>0</v>
      </c>
      <c r="BB12" s="192">
        <v>0</v>
      </c>
      <c r="BC12" s="192">
        <v>0</v>
      </c>
      <c r="BD12" s="192">
        <v>0</v>
      </c>
      <c r="BE12" s="141">
        <f>IF(AND(BO12&gt;0,BO12&lt;=2700),1,0)</f>
        <v>1</v>
      </c>
      <c r="BF12" s="192">
        <v>0</v>
      </c>
      <c r="BG12" s="192">
        <v>0</v>
      </c>
      <c r="BH12" s="192">
        <v>0</v>
      </c>
      <c r="BI12" s="192">
        <v>0</v>
      </c>
      <c r="BJ12" s="192">
        <v>0</v>
      </c>
      <c r="BK12" s="141">
        <f>IF(AND(BO12&gt;2700,BO12&lt;=5350),BP12+1,BP12)</f>
        <v>0</v>
      </c>
      <c r="BL12" s="185"/>
      <c r="BM12" s="141"/>
      <c r="BN12" s="185"/>
      <c r="BO12" s="185">
        <f>N12-BC7*BM12</f>
        <v>1080</v>
      </c>
      <c r="BP12" s="185">
        <f>INT(N12/BC7)</f>
        <v>0</v>
      </c>
      <c r="BQ12" s="185"/>
      <c r="BR12" s="185"/>
      <c r="BS12" s="5"/>
      <c r="BT12" s="3">
        <f t="array" ref="BT12">IFERROR(INDEX(Цены!J:J,MATCH(J12&amp;$E$7,Цены!C:C&amp;Цены!G:G,0)),Цены!J36)</f>
        <v>1331.09</v>
      </c>
      <c r="BV12" s="5"/>
    </row>
    <row r="13" spans="1:83" ht="25.05" customHeight="1" thickBot="1" x14ac:dyDescent="0.35">
      <c r="B13" s="595" t="s">
        <v>172</v>
      </c>
      <c r="C13" s="596"/>
      <c r="D13" s="596"/>
      <c r="E13" s="611">
        <v>540</v>
      </c>
      <c r="F13" s="611"/>
      <c r="G13" s="611"/>
      <c r="H13" s="612"/>
      <c r="J13" s="264"/>
      <c r="K13" s="265"/>
      <c r="L13" s="265"/>
      <c r="M13" s="265"/>
      <c r="N13" s="265"/>
      <c r="O13" s="266"/>
      <c r="P13" s="245"/>
      <c r="Q13" s="245"/>
      <c r="R13" s="134">
        <f>SUM(R9:R12)</f>
        <v>15420.199999999999</v>
      </c>
      <c r="S13" s="274"/>
      <c r="T13" s="359"/>
      <c r="U13" s="605" t="s">
        <v>103</v>
      </c>
      <c r="V13" s="605"/>
      <c r="W13" s="505"/>
      <c r="X13" s="505"/>
      <c r="Y13" s="505"/>
      <c r="Z13" s="505"/>
      <c r="AA13" s="505"/>
      <c r="AB13" s="505"/>
      <c r="AC13" s="505"/>
      <c r="AD13" s="505"/>
      <c r="AE13" s="505"/>
      <c r="AF13" s="505"/>
      <c r="AG13" s="506"/>
      <c r="AH13" s="134">
        <f>SUM(AH9:AH12)</f>
        <v>12794.365</v>
      </c>
      <c r="AI13" s="464"/>
      <c r="AJ13" s="464"/>
      <c r="AK13" s="464"/>
      <c r="AL13" s="464"/>
      <c r="AM13" s="464"/>
      <c r="AN13" s="468"/>
      <c r="AO13" s="464"/>
      <c r="AP13" s="464"/>
      <c r="AQ13" s="464"/>
      <c r="AR13" s="464"/>
      <c r="AS13" s="464"/>
      <c r="AT13" s="464"/>
      <c r="AU13" s="464"/>
      <c r="AV13" s="464"/>
      <c r="AW13" s="464"/>
      <c r="AX13" s="367">
        <v>0.16900000000000001</v>
      </c>
      <c r="AY13" s="3">
        <f>AX13*L12*M12/1000</f>
        <v>0.18252000000000002</v>
      </c>
      <c r="AZ13" s="5"/>
      <c r="BA13" s="5"/>
      <c r="BB13" s="5"/>
      <c r="BC13" s="5"/>
      <c r="BD13" s="5"/>
      <c r="BE13" s="241" t="s">
        <v>431</v>
      </c>
      <c r="BF13" s="5"/>
      <c r="BI13" s="5"/>
      <c r="BJ13" s="5"/>
      <c r="BK13" s="5"/>
      <c r="BM13" s="5"/>
      <c r="BN13" s="5"/>
      <c r="BO13" s="5"/>
      <c r="BP13" s="5"/>
      <c r="BQ13" s="5"/>
      <c r="BR13" s="5"/>
      <c r="BS13" s="5"/>
      <c r="BT13" s="3"/>
    </row>
    <row r="14" spans="1:83" ht="25.05" customHeight="1" thickBot="1" x14ac:dyDescent="0.35">
      <c r="B14" s="597" t="s">
        <v>177</v>
      </c>
      <c r="C14" s="598"/>
      <c r="D14" s="598"/>
      <c r="E14" s="525" t="s">
        <v>99</v>
      </c>
      <c r="F14" s="525"/>
      <c r="G14" s="525"/>
      <c r="H14" s="526"/>
      <c r="J14" s="109"/>
      <c r="K14" s="5"/>
      <c r="L14" s="5"/>
      <c r="M14" s="5"/>
      <c r="N14" s="5"/>
      <c r="O14" s="11"/>
      <c r="S14" s="278"/>
      <c r="AI14" s="453"/>
      <c r="AJ14" s="453"/>
      <c r="AK14" s="453"/>
      <c r="AL14" s="453"/>
      <c r="AM14" s="453"/>
      <c r="AN14" s="468"/>
      <c r="AO14" s="453"/>
      <c r="AP14" s="453"/>
      <c r="AQ14" s="453"/>
      <c r="AR14" s="453"/>
      <c r="AS14" s="453"/>
      <c r="AT14" s="453"/>
      <c r="AU14" s="453"/>
      <c r="AV14" s="453"/>
      <c r="AW14" s="453"/>
      <c r="AY14" s="54">
        <f>IF(E6=BY4,AY9+AY10+AY12+AY13,AY9+AY10+AY11+AY13)</f>
        <v>8.0844719999999981</v>
      </c>
      <c r="BT14" s="3"/>
    </row>
    <row r="15" spans="1:83" ht="25.05" customHeight="1" thickBot="1" x14ac:dyDescent="0.35">
      <c r="J15" s="429"/>
      <c r="K15" s="416"/>
      <c r="L15" s="416"/>
      <c r="M15" s="416"/>
      <c r="N15" s="416"/>
      <c r="O15" s="49"/>
      <c r="P15" s="324"/>
      <c r="Q15" s="324"/>
      <c r="R15" s="280"/>
      <c r="S15" s="324"/>
      <c r="T15" s="324"/>
      <c r="U15" s="324"/>
      <c r="V15" s="324"/>
      <c r="W15" s="324"/>
      <c r="X15" s="324"/>
      <c r="Y15" s="324"/>
      <c r="Z15" s="324"/>
      <c r="AA15" s="324"/>
      <c r="AB15" s="324"/>
      <c r="AC15" s="608" t="s">
        <v>102</v>
      </c>
      <c r="AD15" s="608"/>
      <c r="AE15" s="608"/>
      <c r="AF15" s="608"/>
      <c r="AG15" s="608"/>
      <c r="AH15" s="263">
        <f>AH13+R36+H27</f>
        <v>21052.745000000003</v>
      </c>
      <c r="AI15" s="451"/>
      <c r="AJ15" s="451"/>
      <c r="AK15" s="451"/>
      <c r="AL15" s="451"/>
      <c r="AM15" s="451"/>
      <c r="AN15" s="468"/>
      <c r="AO15" s="451"/>
      <c r="AP15" s="451"/>
      <c r="AQ15" s="451"/>
      <c r="AR15" s="451"/>
      <c r="AS15" s="451"/>
      <c r="AT15" s="451"/>
      <c r="AU15" s="451"/>
      <c r="AV15" s="451"/>
      <c r="AW15" s="451"/>
      <c r="AX15" s="3"/>
      <c r="AY15" s="289">
        <f>AY14/E9</f>
        <v>4.0422359999999991</v>
      </c>
      <c r="AZ15" s="141" t="s">
        <v>263</v>
      </c>
      <c r="BA15" s="141"/>
      <c r="BB15" s="141"/>
      <c r="BC15" s="185">
        <v>5000</v>
      </c>
      <c r="BD15" s="185"/>
      <c r="BE15" s="185"/>
      <c r="BF15" s="185"/>
      <c r="BG15" s="185"/>
      <c r="BH15" s="185"/>
      <c r="BI15" s="185"/>
      <c r="BJ15" s="185"/>
      <c r="BK15" s="185"/>
      <c r="BL15" s="185"/>
      <c r="BM15" s="186"/>
      <c r="BN15" s="186"/>
      <c r="BO15" s="186"/>
      <c r="BP15" s="186"/>
      <c r="BQ15" s="186"/>
      <c r="BR15" s="186"/>
      <c r="BS15" s="6"/>
      <c r="BT15" s="3"/>
      <c r="BV15" s="48">
        <v>0</v>
      </c>
    </row>
    <row r="16" spans="1:83" ht="25.05" customHeight="1" thickBot="1" x14ac:dyDescent="0.35">
      <c r="J16" s="110"/>
      <c r="K16" s="9"/>
      <c r="L16" s="9"/>
      <c r="M16" s="5"/>
      <c r="N16" s="5"/>
      <c r="O16" s="55"/>
      <c r="P16" s="9"/>
      <c r="Q16" s="9"/>
      <c r="R16" s="9"/>
      <c r="S16" s="9"/>
      <c r="T16" s="313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468"/>
      <c r="AJ16" s="468"/>
      <c r="AK16" s="468"/>
      <c r="AL16" s="468"/>
      <c r="AM16" s="468"/>
      <c r="AN16" s="468"/>
      <c r="AO16" s="468"/>
      <c r="AP16" s="468"/>
      <c r="AQ16" s="468"/>
      <c r="AR16" s="468"/>
      <c r="AS16" s="468"/>
      <c r="AT16" s="468"/>
      <c r="AU16" s="468"/>
      <c r="AV16" s="468"/>
      <c r="AW16" s="468"/>
      <c r="AX16" s="6"/>
      <c r="AZ16" s="141" t="s">
        <v>264</v>
      </c>
      <c r="BA16" s="141"/>
      <c r="BB16" s="141"/>
      <c r="BC16" s="141">
        <v>5075</v>
      </c>
      <c r="BD16" s="185"/>
      <c r="BE16" s="141"/>
      <c r="BF16" s="141"/>
      <c r="BG16" s="141"/>
      <c r="BH16" s="141"/>
      <c r="BI16" s="141"/>
      <c r="BJ16" s="141"/>
      <c r="BK16" s="141"/>
      <c r="BL16" s="141"/>
      <c r="BM16" s="186"/>
      <c r="BN16" s="186"/>
      <c r="BO16" s="186"/>
      <c r="BP16" s="186"/>
      <c r="BQ16" s="186"/>
      <c r="BR16" s="186"/>
      <c r="BS16" s="6"/>
      <c r="BT16" s="6"/>
      <c r="BV16" s="48">
        <v>1</v>
      </c>
    </row>
    <row r="17" spans="2:84" ht="25.05" customHeight="1" thickBot="1" x14ac:dyDescent="0.35">
      <c r="B17" s="58"/>
      <c r="C17" s="59"/>
      <c r="D17" s="59"/>
      <c r="E17" s="59"/>
      <c r="F17" s="59"/>
      <c r="G17" s="59"/>
      <c r="H17" s="60"/>
      <c r="I17" s="76"/>
      <c r="J17" s="586" t="s">
        <v>181</v>
      </c>
      <c r="K17" s="552"/>
      <c r="L17" s="552"/>
      <c r="M17" s="416"/>
      <c r="N17" s="5"/>
      <c r="O17" s="11"/>
      <c r="R17" s="281"/>
      <c r="S17" s="18"/>
      <c r="T17" s="314"/>
      <c r="U17" s="268"/>
      <c r="V17" s="268"/>
      <c r="W17" s="268"/>
      <c r="X17" s="268"/>
      <c r="Y17" s="268"/>
      <c r="Z17" s="268"/>
      <c r="AA17" s="268"/>
      <c r="AB17" s="268"/>
      <c r="AC17" s="268"/>
      <c r="AD17" s="268"/>
      <c r="AE17" s="268"/>
      <c r="AF17" s="268"/>
      <c r="AG17" s="268"/>
      <c r="AH17" s="268"/>
      <c r="AI17" s="451"/>
      <c r="AJ17" s="451"/>
      <c r="AK17" s="451"/>
      <c r="AL17" s="451"/>
      <c r="AM17" s="451"/>
      <c r="AN17" s="451"/>
      <c r="AO17" s="451"/>
      <c r="AP17" s="451"/>
      <c r="AQ17" s="451"/>
      <c r="AR17" s="451"/>
      <c r="AS17" s="451"/>
      <c r="AT17" s="451"/>
      <c r="AU17" s="451"/>
      <c r="AV17" s="451"/>
      <c r="AW17" s="451"/>
      <c r="AX17" s="5"/>
      <c r="AY17" s="5"/>
      <c r="AZ17" s="185" t="s">
        <v>265</v>
      </c>
      <c r="BA17" s="185"/>
      <c r="BB17" s="185"/>
      <c r="BC17" s="141">
        <v>5400</v>
      </c>
      <c r="BD17" s="185"/>
      <c r="BE17" s="141"/>
      <c r="BF17" s="141"/>
      <c r="BG17" s="141"/>
      <c r="BH17" s="141"/>
      <c r="BI17" s="141"/>
      <c r="BJ17" s="141"/>
      <c r="BK17" s="141"/>
      <c r="BL17" s="141"/>
      <c r="BM17" s="186"/>
      <c r="BN17" s="186"/>
      <c r="BO17" s="186"/>
      <c r="BP17" s="186"/>
      <c r="BQ17" s="186"/>
      <c r="BR17" s="186"/>
      <c r="BS17" s="6"/>
      <c r="BT17" s="6"/>
      <c r="BV17" s="48">
        <v>2</v>
      </c>
      <c r="CF17" s="1"/>
    </row>
    <row r="18" spans="2:84" ht="25.05" customHeight="1" thickBot="1" x14ac:dyDescent="0.4">
      <c r="B18" s="61" t="s">
        <v>107</v>
      </c>
      <c r="C18" s="62">
        <f>E5+1</f>
        <v>1</v>
      </c>
      <c r="D18" s="98"/>
      <c r="E18" s="98"/>
      <c r="F18" s="98"/>
      <c r="G18" s="98"/>
      <c r="H18" s="64"/>
      <c r="I18" s="76"/>
      <c r="J18" s="548" t="s">
        <v>0</v>
      </c>
      <c r="K18" s="549"/>
      <c r="L18" s="549"/>
      <c r="M18" s="549"/>
      <c r="N18" s="412" t="s">
        <v>1</v>
      </c>
      <c r="O18" s="239" t="s">
        <v>8</v>
      </c>
      <c r="P18" s="140"/>
      <c r="Q18" s="140"/>
      <c r="R18" s="261" t="s">
        <v>24</v>
      </c>
      <c r="S18" s="140"/>
      <c r="T18" s="116"/>
      <c r="U18" s="444"/>
      <c r="V18" s="444"/>
      <c r="W18" s="444"/>
      <c r="X18" s="444"/>
      <c r="Y18" s="444"/>
      <c r="Z18" s="444"/>
      <c r="AA18" s="444"/>
      <c r="AB18" s="444"/>
      <c r="AC18" s="444"/>
      <c r="AD18" s="444"/>
      <c r="AE18" s="444"/>
      <c r="AF18" s="444"/>
      <c r="AG18" s="445"/>
      <c r="AH18" s="303"/>
      <c r="AI18" s="452"/>
      <c r="AJ18" s="452"/>
      <c r="AK18" s="452"/>
      <c r="AL18" s="452"/>
      <c r="AM18" s="452"/>
      <c r="AN18" s="452"/>
      <c r="AO18" s="452"/>
      <c r="AP18" s="452"/>
      <c r="AQ18" s="452"/>
      <c r="AR18" s="452"/>
      <c r="AS18" s="452"/>
      <c r="AT18" s="452"/>
      <c r="AU18" s="452"/>
      <c r="AV18" s="452"/>
      <c r="AW18" s="452"/>
      <c r="AX18" s="5"/>
      <c r="AY18" s="5"/>
      <c r="AZ18" s="96">
        <v>1000</v>
      </c>
      <c r="BA18" s="96">
        <v>1250</v>
      </c>
      <c r="BB18" s="96">
        <v>1800</v>
      </c>
      <c r="BC18" s="96">
        <v>2000</v>
      </c>
      <c r="BD18" s="96">
        <v>2500</v>
      </c>
      <c r="BE18" s="96">
        <v>2700</v>
      </c>
      <c r="BF18" s="96">
        <v>3000</v>
      </c>
      <c r="BG18" s="96">
        <v>3600</v>
      </c>
      <c r="BH18" s="96">
        <v>3750</v>
      </c>
      <c r="BI18" s="96">
        <v>4000</v>
      </c>
      <c r="BJ18" s="96">
        <v>5000</v>
      </c>
      <c r="BK18" s="142">
        <v>5400</v>
      </c>
      <c r="BL18" s="187"/>
      <c r="BM18" s="186"/>
      <c r="BN18" s="186"/>
      <c r="BO18" s="186"/>
      <c r="BP18" s="186"/>
      <c r="BQ18" s="186"/>
      <c r="BR18" s="186"/>
      <c r="BS18" s="6"/>
      <c r="BT18" s="6"/>
      <c r="BV18" s="48">
        <v>3</v>
      </c>
      <c r="CF18" s="1"/>
    </row>
    <row r="19" spans="2:84" ht="25.05" customHeight="1" x14ac:dyDescent="0.3">
      <c r="B19" s="66"/>
      <c r="C19" s="67"/>
      <c r="D19" s="67"/>
      <c r="E19" s="67"/>
      <c r="F19" s="67"/>
      <c r="G19" s="67"/>
      <c r="H19" s="68"/>
      <c r="J19" s="601" t="s">
        <v>52</v>
      </c>
      <c r="K19" s="602"/>
      <c r="L19" s="602"/>
      <c r="M19" s="602"/>
      <c r="N19" s="238" t="s">
        <v>203</v>
      </c>
      <c r="O19" s="284">
        <f>IF(E8=BV59,E9,0)</f>
        <v>0</v>
      </c>
      <c r="P19" s="270"/>
      <c r="Q19" s="270"/>
      <c r="R19" s="287">
        <f>O19*Цены!J121</f>
        <v>0</v>
      </c>
      <c r="S19" s="273"/>
      <c r="T19" s="310"/>
      <c r="U19" s="249"/>
      <c r="V19" s="249"/>
      <c r="W19" s="249"/>
      <c r="X19" s="249"/>
      <c r="Y19" s="249"/>
      <c r="Z19" s="249"/>
      <c r="AA19" s="249"/>
      <c r="AB19" s="249"/>
      <c r="AC19" s="249"/>
      <c r="AD19" s="249"/>
      <c r="AE19" s="249"/>
      <c r="AF19" s="249"/>
      <c r="AG19" s="274"/>
      <c r="AH19" s="274"/>
      <c r="AI19" s="463"/>
      <c r="AJ19" s="463"/>
      <c r="AK19" s="463"/>
      <c r="AL19" s="463"/>
      <c r="AM19" s="463"/>
      <c r="AN19" s="463"/>
      <c r="AO19" s="463"/>
      <c r="AP19" s="463"/>
      <c r="AQ19" s="463"/>
      <c r="AR19" s="463"/>
      <c r="AS19" s="463"/>
      <c r="AT19" s="463"/>
      <c r="AU19" s="463"/>
      <c r="AV19" s="463"/>
      <c r="AW19" s="463"/>
      <c r="AX19" s="5"/>
      <c r="AY19" s="5"/>
      <c r="AZ19" s="141">
        <v>0</v>
      </c>
      <c r="BA19" s="141">
        <v>0</v>
      </c>
      <c r="BB19" s="141">
        <v>0</v>
      </c>
      <c r="BC19" s="141">
        <v>0</v>
      </c>
      <c r="BD19" s="141">
        <v>0</v>
      </c>
      <c r="BE19" s="141">
        <v>0</v>
      </c>
      <c r="BF19" s="141">
        <v>0</v>
      </c>
      <c r="BG19" s="141">
        <v>0</v>
      </c>
      <c r="BH19" s="141">
        <v>0</v>
      </c>
      <c r="BI19" s="141">
        <v>0</v>
      </c>
      <c r="BJ19" s="141">
        <v>0</v>
      </c>
      <c r="BK19" s="315">
        <f>BK9</f>
        <v>2</v>
      </c>
      <c r="BL19" s="185"/>
      <c r="BM19" s="141"/>
      <c r="BN19" s="141"/>
      <c r="BO19" s="141"/>
      <c r="BP19" s="188"/>
      <c r="BQ19" s="188"/>
      <c r="BR19" s="188"/>
      <c r="BS19" s="144"/>
      <c r="BT19" s="144"/>
      <c r="BV19" s="48">
        <v>4</v>
      </c>
      <c r="CF19" s="1"/>
    </row>
    <row r="20" spans="2:84" ht="25.05" customHeight="1" x14ac:dyDescent="0.3">
      <c r="B20" s="66"/>
      <c r="C20" s="67"/>
      <c r="D20" s="67"/>
      <c r="E20" s="67"/>
      <c r="F20" s="67"/>
      <c r="G20" s="67"/>
      <c r="H20" s="68"/>
      <c r="J20" s="601" t="s">
        <v>71</v>
      </c>
      <c r="K20" s="602"/>
      <c r="L20" s="602"/>
      <c r="M20" s="602"/>
      <c r="N20" s="238" t="s">
        <v>204</v>
      </c>
      <c r="O20" s="284">
        <f>IF(E10=BV33,E9,0)</f>
        <v>0</v>
      </c>
      <c r="P20" s="270"/>
      <c r="Q20" s="270"/>
      <c r="R20" s="287">
        <f>O20*Цены!J156</f>
        <v>0</v>
      </c>
      <c r="S20" s="273"/>
      <c r="T20" s="310"/>
      <c r="U20" s="249"/>
      <c r="V20" s="249"/>
      <c r="W20" s="249"/>
      <c r="X20" s="249"/>
      <c r="Y20" s="249"/>
      <c r="Z20" s="249"/>
      <c r="AA20" s="249"/>
      <c r="AB20" s="249"/>
      <c r="AC20" s="249"/>
      <c r="AD20" s="249"/>
      <c r="AE20" s="249"/>
      <c r="AF20" s="249"/>
      <c r="AG20" s="444"/>
      <c r="AH20" s="442"/>
      <c r="AI20" s="453"/>
      <c r="AJ20" s="453"/>
      <c r="AK20" s="453"/>
      <c r="AL20" s="453"/>
      <c r="AM20" s="453"/>
      <c r="AN20" s="453"/>
      <c r="AO20" s="453"/>
      <c r="AP20" s="453"/>
      <c r="AQ20" s="453"/>
      <c r="AR20" s="453"/>
      <c r="AS20" s="453"/>
      <c r="AT20" s="453"/>
      <c r="AU20" s="453"/>
      <c r="AV20" s="453"/>
      <c r="AW20" s="453"/>
      <c r="AX20" s="5"/>
      <c r="AY20" s="5"/>
      <c r="AZ20" s="143">
        <v>0</v>
      </c>
      <c r="BA20" s="141">
        <f>IF(AND(BL20&gt;0,BL20&lt;=1250),1,0)</f>
        <v>0</v>
      </c>
      <c r="BB20" s="143">
        <v>0</v>
      </c>
      <c r="BC20" s="143">
        <v>0</v>
      </c>
      <c r="BD20" s="141">
        <f>IF(AND(BL20&gt;1250,BL20&lt;=2500),1,0)</f>
        <v>1</v>
      </c>
      <c r="BE20" s="143">
        <v>0</v>
      </c>
      <c r="BF20" s="143">
        <v>0</v>
      </c>
      <c r="BG20" s="143">
        <v>0</v>
      </c>
      <c r="BH20" s="141">
        <f>IF(AND(BL20&gt;2500,BL20&lt;=3750),1,0)</f>
        <v>0</v>
      </c>
      <c r="BI20" s="143">
        <v>0</v>
      </c>
      <c r="BJ20" s="141">
        <f>IF(AND(BL20&gt;4000,BL20&lt;=4950),BM20+1,BM20)</f>
        <v>0</v>
      </c>
      <c r="BK20" s="143">
        <v>0</v>
      </c>
      <c r="BL20" s="185">
        <f>BL10</f>
        <v>1648</v>
      </c>
      <c r="BM20" s="185">
        <f>BM10</f>
        <v>0</v>
      </c>
      <c r="BN20" s="141"/>
      <c r="BO20" s="141"/>
      <c r="BP20" s="188"/>
      <c r="BQ20" s="188" t="s">
        <v>266</v>
      </c>
      <c r="BR20" s="189" t="s">
        <v>267</v>
      </c>
      <c r="BS20" s="152"/>
      <c r="BT20" s="152"/>
    </row>
    <row r="21" spans="2:84" ht="25.05" customHeight="1" x14ac:dyDescent="0.3">
      <c r="B21" s="69" t="s">
        <v>108</v>
      </c>
      <c r="C21" s="328" t="s">
        <v>109</v>
      </c>
      <c r="D21" s="70" t="s">
        <v>78</v>
      </c>
      <c r="E21" s="328" t="s">
        <v>110</v>
      </c>
      <c r="F21" s="328" t="s">
        <v>111</v>
      </c>
      <c r="G21" s="328" t="s">
        <v>127</v>
      </c>
      <c r="H21" s="71" t="s">
        <v>128</v>
      </c>
      <c r="J21" s="486" t="s">
        <v>147</v>
      </c>
      <c r="K21" s="487"/>
      <c r="L21" s="487"/>
      <c r="M21" s="487"/>
      <c r="N21" s="238" t="s">
        <v>206</v>
      </c>
      <c r="O21" s="422">
        <f>IF(E10=BV34,E9,0)</f>
        <v>0</v>
      </c>
      <c r="P21" s="249"/>
      <c r="Q21" s="249"/>
      <c r="R21" s="287">
        <f>O21*Цены!J174</f>
        <v>0</v>
      </c>
      <c r="S21" s="273"/>
      <c r="T21" s="310"/>
      <c r="U21" s="249"/>
      <c r="V21" s="249"/>
      <c r="W21" s="249"/>
      <c r="X21" s="249"/>
      <c r="Y21" s="249"/>
      <c r="Z21" s="249"/>
      <c r="AA21" s="249"/>
      <c r="AB21" s="249"/>
      <c r="AC21" s="249"/>
      <c r="AD21" s="249"/>
      <c r="AE21" s="249"/>
      <c r="AF21" s="249"/>
      <c r="AG21" s="444"/>
      <c r="AH21" s="442"/>
      <c r="AI21" s="453"/>
      <c r="AJ21" s="453"/>
      <c r="AK21" s="453"/>
      <c r="AL21" s="453"/>
      <c r="AM21" s="453"/>
      <c r="AN21" s="453"/>
      <c r="AO21" s="453"/>
      <c r="AP21" s="453"/>
      <c r="AQ21" s="453"/>
      <c r="AR21" s="453"/>
      <c r="AS21" s="453"/>
      <c r="AT21" s="453"/>
      <c r="AU21" s="453"/>
      <c r="AV21" s="453"/>
      <c r="AW21" s="453"/>
      <c r="AX21" s="5"/>
      <c r="AY21" s="5"/>
      <c r="AZ21" s="143">
        <v>0</v>
      </c>
      <c r="BA21" s="190">
        <f>IF(AND(J11=BY5,BL21&gt;0,BL21&lt;=1250),1,0)</f>
        <v>0</v>
      </c>
      <c r="BB21" s="191">
        <f>IF(AND(J11=BY4,BO21&gt;0,BO21&lt;=1800),1,0)</f>
        <v>0</v>
      </c>
      <c r="BC21" s="143">
        <v>0</v>
      </c>
      <c r="BD21" s="190">
        <f>IF(AND(J11=BY5,BL21&gt;1250,BL21&lt;=2500),1,0)</f>
        <v>0</v>
      </c>
      <c r="BE21" s="191">
        <f>IF(AND(J11=BY4,BO21&gt;1800,BO21&lt;=2700),1,0)</f>
        <v>0</v>
      </c>
      <c r="BF21" s="143">
        <v>0</v>
      </c>
      <c r="BG21" s="191">
        <f>IF(AND(J11=BY4,BO21&gt;2700,BO21&lt;=3600),1,0)</f>
        <v>0</v>
      </c>
      <c r="BH21" s="190">
        <f>IF(AND(J11=BY5,BL21&gt;2500,BL21&lt;=3750),1,0)</f>
        <v>0</v>
      </c>
      <c r="BI21" s="143">
        <v>0</v>
      </c>
      <c r="BJ21" s="190">
        <f>IF(AND(J11=BY5,BL21&gt;4000,BL21&lt;=4950),BM21+1,BM21)</f>
        <v>0</v>
      </c>
      <c r="BK21" s="191">
        <f>IF(AND(J11=BY4,BO21&gt;3600,BO21&lt;=5350),BP21+1,BP21)</f>
        <v>0</v>
      </c>
      <c r="BL21" s="185">
        <f>BL11</f>
        <v>0</v>
      </c>
      <c r="BM21" s="185">
        <f>BM11</f>
        <v>0</v>
      </c>
      <c r="BN21" s="185"/>
      <c r="BO21" s="185">
        <f>BO11</f>
        <v>0</v>
      </c>
      <c r="BP21" s="185">
        <f>BP11</f>
        <v>0</v>
      </c>
      <c r="BQ21" s="188">
        <f>(V21*0.25+Y21*0.5+AC21*0.75+AE21)*BT11</f>
        <v>0</v>
      </c>
      <c r="BR21" s="188">
        <f>(W21*0.34+Z21*0.5+AB21*0.67+AF21)*BT11</f>
        <v>0</v>
      </c>
      <c r="BS21" s="144"/>
      <c r="BT21" s="144"/>
      <c r="BV21" s="79" t="s">
        <v>118</v>
      </c>
      <c r="CE21" s="1" t="s">
        <v>425</v>
      </c>
    </row>
    <row r="22" spans="2:84" ht="25.05" customHeight="1" x14ac:dyDescent="0.3">
      <c r="B22" s="72" t="s">
        <v>112</v>
      </c>
      <c r="C22" s="15" t="s">
        <v>12</v>
      </c>
      <c r="D22" s="95">
        <v>0</v>
      </c>
      <c r="E22" s="16">
        <f>K4-IF(E26=0,0,IF(C26=BV8,E26,IF(C26=BV9,E26+2,E26+3)))-IF(E25=0,0,IF(C25=BV8,E25,IF(C25=BV9,E25+2,E25+3)))-IF(E24=0,0,IF(C24=BV8,E24,IF(C24=BV9,E24+2,E24+3)))-IF(E23=0,0,IF(C23=BV8,E23,IF(C23=BV9,E23+2,E23+3)))-44-IF(C22=BV9,2,IF(C22=BV10,3,0))-E5*CA4</f>
        <v>2533</v>
      </c>
      <c r="F22" s="73">
        <f>IF(C22=$BV$10,$K$5-63,IF(C22=$BV$9,$K$5-62,$K$5-60))</f>
        <v>427</v>
      </c>
      <c r="G22" s="74">
        <f>$E$9</f>
        <v>2</v>
      </c>
      <c r="H22" s="75">
        <f>E22*F22*D22*G22/1000000</f>
        <v>0</v>
      </c>
      <c r="J22" s="486" t="s">
        <v>149</v>
      </c>
      <c r="K22" s="487"/>
      <c r="L22" s="487"/>
      <c r="M22" s="487"/>
      <c r="N22" s="238" t="s">
        <v>205</v>
      </c>
      <c r="O22" s="422">
        <f>IF(E10=BV35,E9,0)</f>
        <v>2</v>
      </c>
      <c r="P22" s="249"/>
      <c r="Q22" s="249"/>
      <c r="R22" s="287">
        <f>O22*Цены!J175</f>
        <v>166.4</v>
      </c>
      <c r="S22" s="273"/>
      <c r="T22" s="310"/>
      <c r="U22" s="249"/>
      <c r="V22" s="249"/>
      <c r="W22" s="249"/>
      <c r="X22" s="249"/>
      <c r="Y22" s="249"/>
      <c r="Z22" s="249"/>
      <c r="AA22" s="249"/>
      <c r="AB22" s="249"/>
      <c r="AC22" s="249"/>
      <c r="AD22" s="249"/>
      <c r="AE22" s="249"/>
      <c r="AF22" s="249"/>
      <c r="AG22" s="444"/>
      <c r="AH22" s="442"/>
      <c r="AI22" s="453"/>
      <c r="AJ22" s="453"/>
      <c r="AK22" s="453"/>
      <c r="AL22" s="453"/>
      <c r="AM22" s="453"/>
      <c r="AN22" s="453"/>
      <c r="AO22" s="453"/>
      <c r="AP22" s="453"/>
      <c r="AQ22" s="453"/>
      <c r="AR22" s="453"/>
      <c r="AS22" s="453"/>
      <c r="AT22" s="453"/>
      <c r="AU22" s="453"/>
      <c r="AV22" s="453"/>
      <c r="AW22" s="453"/>
      <c r="AX22" s="5"/>
      <c r="AY22" s="5"/>
      <c r="AZ22" s="192">
        <v>0</v>
      </c>
      <c r="BA22" s="192">
        <v>0</v>
      </c>
      <c r="BB22" s="192">
        <v>0</v>
      </c>
      <c r="BC22" s="192">
        <v>0</v>
      </c>
      <c r="BD22" s="192">
        <v>0</v>
      </c>
      <c r="BE22" s="141">
        <f>IF(AND(BO22&gt;0,BO22&lt;=2700),1,0)</f>
        <v>1</v>
      </c>
      <c r="BF22" s="192">
        <v>0</v>
      </c>
      <c r="BG22" s="192">
        <v>0</v>
      </c>
      <c r="BH22" s="192">
        <v>0</v>
      </c>
      <c r="BI22" s="192">
        <v>0</v>
      </c>
      <c r="BJ22" s="192">
        <v>0</v>
      </c>
      <c r="BK22" s="141">
        <f>IF(AND(BO22&gt;2700,BO22&lt;=5350),BP22+1,BP22)</f>
        <v>0</v>
      </c>
      <c r="BL22" s="185"/>
      <c r="BM22" s="185"/>
      <c r="BN22" s="185"/>
      <c r="BO22" s="185">
        <f>BO12</f>
        <v>1080</v>
      </c>
      <c r="BP22" s="185">
        <f>BP12</f>
        <v>0</v>
      </c>
      <c r="BQ22" s="185"/>
      <c r="BR22" s="185"/>
      <c r="BS22" s="5"/>
      <c r="BT22" s="5"/>
      <c r="BV22" s="79" t="s">
        <v>119</v>
      </c>
      <c r="BZ22" s="301">
        <f>IF(E22&lt;&gt;0,1,0)</f>
        <v>1</v>
      </c>
      <c r="CE22" s="1" t="s">
        <v>430</v>
      </c>
    </row>
    <row r="23" spans="2:84" ht="25.05" customHeight="1" x14ac:dyDescent="0.3">
      <c r="B23" s="72" t="s">
        <v>113</v>
      </c>
      <c r="C23" s="15" t="s">
        <v>10</v>
      </c>
      <c r="D23" s="95">
        <v>0</v>
      </c>
      <c r="E23" s="17">
        <v>0</v>
      </c>
      <c r="F23" s="73">
        <f>IF(C23=$BV$10,$K$5-63,IF(C23=$BV$9,$K$5-62,$K$5-60))</f>
        <v>430</v>
      </c>
      <c r="G23" s="74">
        <f>IF(E23&lt;&gt;0,$E$9,0)</f>
        <v>0</v>
      </c>
      <c r="H23" s="75">
        <f t="shared" ref="H23:H26" si="20">E23*F23*D23*G23/1000000</f>
        <v>0</v>
      </c>
      <c r="J23" s="601" t="s">
        <v>40</v>
      </c>
      <c r="K23" s="602"/>
      <c r="L23" s="602"/>
      <c r="M23" s="602"/>
      <c r="N23" s="238" t="s">
        <v>207</v>
      </c>
      <c r="O23" s="231">
        <f>IF(E13&lt;500,2*E9,E9*ROUNDDOWN((E13/500+1),0))</f>
        <v>4</v>
      </c>
      <c r="P23" s="250"/>
      <c r="Q23" s="250"/>
      <c r="R23" s="287">
        <f>O23*Цены!J100</f>
        <v>1785.48</v>
      </c>
      <c r="S23" s="273"/>
      <c r="T23" s="273"/>
      <c r="U23" s="447"/>
      <c r="V23" s="447"/>
      <c r="W23" s="447"/>
      <c r="X23" s="447"/>
      <c r="Y23" s="447"/>
      <c r="Z23" s="447"/>
      <c r="AA23" s="447"/>
      <c r="AB23" s="447"/>
      <c r="AC23" s="447"/>
      <c r="AD23" s="447"/>
      <c r="AE23" s="447"/>
      <c r="AF23" s="447"/>
      <c r="AG23" s="447"/>
      <c r="AH23" s="278"/>
      <c r="AI23" s="464"/>
      <c r="AJ23" s="464"/>
      <c r="AK23" s="464"/>
      <c r="AL23" s="464"/>
      <c r="AM23" s="464"/>
      <c r="AN23" s="464"/>
      <c r="AO23" s="464"/>
      <c r="AP23" s="464"/>
      <c r="AQ23" s="464"/>
      <c r="AR23" s="464"/>
      <c r="AS23" s="464"/>
      <c r="AT23" s="464"/>
      <c r="AU23" s="464"/>
      <c r="AV23" s="464"/>
      <c r="AW23" s="464"/>
      <c r="AX23" s="5"/>
      <c r="AY23" s="5"/>
      <c r="AZ23" s="5"/>
      <c r="BA23" s="5"/>
      <c r="BB23" s="5"/>
      <c r="BC23" s="5"/>
      <c r="BD23" s="5"/>
      <c r="BE23" s="5"/>
      <c r="BF23" s="5"/>
      <c r="BG23" s="1"/>
      <c r="BH23" s="1"/>
      <c r="BI23" s="5"/>
      <c r="BJ23" s="5"/>
      <c r="BK23" s="5"/>
      <c r="BL23" s="1"/>
      <c r="BM23" s="5"/>
      <c r="BN23" s="5"/>
      <c r="BO23" s="5"/>
      <c r="BP23" s="5"/>
      <c r="BQ23" s="5"/>
      <c r="BR23" s="5"/>
      <c r="BS23" s="5"/>
      <c r="BT23" s="5"/>
      <c r="BZ23" s="301">
        <f>IF(E23&lt;&gt;0,1,0)</f>
        <v>0</v>
      </c>
      <c r="CE23" s="1" t="s">
        <v>427</v>
      </c>
    </row>
    <row r="24" spans="2:84" ht="25.05" customHeight="1" x14ac:dyDescent="0.3">
      <c r="B24" s="72" t="s">
        <v>114</v>
      </c>
      <c r="C24" s="15" t="s">
        <v>10</v>
      </c>
      <c r="D24" s="95">
        <v>0</v>
      </c>
      <c r="E24" s="17">
        <v>0</v>
      </c>
      <c r="F24" s="73">
        <f>IF(C24=$BV$10,$K$5-63,IF(C24=$BV$9,$K$5-62,$K$5-60))</f>
        <v>430</v>
      </c>
      <c r="G24" s="74">
        <f>IF(E24&lt;&gt;0,$E$9,0)</f>
        <v>0</v>
      </c>
      <c r="H24" s="75">
        <f t="shared" si="20"/>
        <v>0</v>
      </c>
      <c r="J24" s="601" t="s">
        <v>44</v>
      </c>
      <c r="K24" s="602"/>
      <c r="L24" s="602"/>
      <c r="M24" s="602"/>
      <c r="N24" s="238" t="s">
        <v>208</v>
      </c>
      <c r="O24" s="284">
        <f>E9</f>
        <v>2</v>
      </c>
      <c r="P24" s="270"/>
      <c r="Q24" s="270"/>
      <c r="R24" s="287">
        <f>O24*Цены!J104</f>
        <v>186.38</v>
      </c>
      <c r="S24" s="273"/>
      <c r="AZ24" s="5"/>
      <c r="BA24" s="5"/>
      <c r="BB24" s="5"/>
      <c r="BC24" s="5"/>
      <c r="BD24" s="5"/>
      <c r="BE24" s="241" t="s">
        <v>524</v>
      </c>
      <c r="BF24" s="5"/>
      <c r="BI24" s="5"/>
      <c r="BJ24" s="5"/>
      <c r="BK24" s="5"/>
      <c r="BM24" s="5"/>
      <c r="BN24" s="5"/>
      <c r="BO24" s="5"/>
      <c r="BP24" s="5"/>
      <c r="BQ24" s="5"/>
      <c r="BR24" s="5"/>
      <c r="BU24" s="1"/>
      <c r="BZ24" s="301">
        <f>IF(E24&lt;&gt;0,1,0)</f>
        <v>0</v>
      </c>
      <c r="CE24" s="1" t="s">
        <v>428</v>
      </c>
    </row>
    <row r="25" spans="2:84" ht="25.05" customHeight="1" x14ac:dyDescent="0.3">
      <c r="B25" s="72" t="s">
        <v>115</v>
      </c>
      <c r="C25" s="15" t="s">
        <v>12</v>
      </c>
      <c r="D25" s="95">
        <v>0</v>
      </c>
      <c r="E25" s="17">
        <v>0</v>
      </c>
      <c r="F25" s="73">
        <f>IF(C25=$BV$10,$K$5-63,IF(C25=$BV$9,$K$5-62,$K$5-60))</f>
        <v>427</v>
      </c>
      <c r="G25" s="74">
        <f>IF(E25&lt;&gt;0,$E$9,0)</f>
        <v>0</v>
      </c>
      <c r="H25" s="75">
        <f t="shared" si="20"/>
        <v>0</v>
      </c>
      <c r="J25" s="496" t="s">
        <v>228</v>
      </c>
      <c r="K25" s="497"/>
      <c r="L25" s="497"/>
      <c r="M25" s="497"/>
      <c r="N25" s="236" t="s">
        <v>195</v>
      </c>
      <c r="O25" s="231">
        <f>M10*2+M11*2</f>
        <v>8</v>
      </c>
      <c r="P25" s="250"/>
      <c r="Q25" s="250"/>
      <c r="R25" s="287">
        <f>O25*Цены!J184</f>
        <v>83.2</v>
      </c>
      <c r="S25" s="273"/>
      <c r="T25" s="273"/>
      <c r="U25" s="5"/>
      <c r="V25" s="5"/>
      <c r="W25" s="5"/>
      <c r="X25" s="78"/>
      <c r="Y25" s="78"/>
      <c r="Z25" s="78"/>
      <c r="AA25" s="78"/>
      <c r="AB25" s="78"/>
      <c r="AC25" s="78"/>
      <c r="AD25" s="5"/>
      <c r="AE25" s="5"/>
      <c r="AF25" s="5"/>
      <c r="AG25" s="5"/>
      <c r="AH25" s="277"/>
      <c r="AI25" s="277"/>
      <c r="AJ25" s="277"/>
      <c r="AK25" s="277"/>
      <c r="AL25" s="277"/>
      <c r="AM25" s="277"/>
      <c r="AN25" s="277"/>
      <c r="AO25" s="277"/>
      <c r="AP25" s="277"/>
      <c r="AQ25" s="277"/>
      <c r="AR25" s="277"/>
      <c r="AS25" s="277"/>
      <c r="AT25" s="277"/>
      <c r="AU25" s="277"/>
      <c r="AV25" s="277"/>
      <c r="AW25" s="277"/>
      <c r="AX25" s="5"/>
      <c r="AY25" s="5"/>
      <c r="BS25" s="5"/>
      <c r="BT25" s="5"/>
      <c r="BV25" s="1" t="s">
        <v>80</v>
      </c>
      <c r="BZ25" s="301">
        <f>IF(E25&lt;&gt;0,1,0)</f>
        <v>0</v>
      </c>
      <c r="CE25" s="1" t="s">
        <v>429</v>
      </c>
    </row>
    <row r="26" spans="2:84" ht="25.05" customHeight="1" thickBot="1" x14ac:dyDescent="0.35">
      <c r="B26" s="80" t="s">
        <v>116</v>
      </c>
      <c r="C26" s="15" t="s">
        <v>12</v>
      </c>
      <c r="D26" s="95">
        <v>0</v>
      </c>
      <c r="E26" s="17">
        <v>0</v>
      </c>
      <c r="F26" s="73">
        <f>IF(C26=$BV$10,$K$5-63,IF(C26=$BV$9,$K$5-62,$K$5-60))</f>
        <v>427</v>
      </c>
      <c r="G26" s="74">
        <f>IF(E26&lt;&gt;0,$E$9,0)</f>
        <v>0</v>
      </c>
      <c r="H26" s="131">
        <f t="shared" si="20"/>
        <v>0</v>
      </c>
      <c r="J26" s="601" t="s">
        <v>82</v>
      </c>
      <c r="K26" s="602"/>
      <c r="L26" s="602"/>
      <c r="M26" s="602"/>
      <c r="N26" s="236" t="s">
        <v>262</v>
      </c>
      <c r="O26" s="299">
        <f>ROUNDUP((IF(C22=BV9,(E22+F22)*2*G22,0)+IF(C23=BV9,(E23+F23)*2*G23,0)+IF(C24=BV9,(E24+F24)*2*G24,0)+IF(C25=BV9,(E25+F25)*2*G25,0)+IF(C26=BV9,(E26+F26)*2*G26,0))/1000,0)</f>
        <v>0</v>
      </c>
      <c r="P26" s="296"/>
      <c r="Q26" s="296"/>
      <c r="R26" s="287">
        <f>O26*Цены!J177</f>
        <v>0</v>
      </c>
      <c r="S26" s="273"/>
      <c r="T26" s="273"/>
      <c r="V26" s="322"/>
      <c r="W26" s="322"/>
      <c r="X26" s="322"/>
      <c r="Y26" s="322"/>
      <c r="Z26" s="322"/>
      <c r="AA26" s="322"/>
      <c r="AB26" s="322"/>
      <c r="AX26" s="5"/>
      <c r="AY26" s="5"/>
      <c r="AZ26" s="141" t="s">
        <v>263</v>
      </c>
      <c r="BA26" s="141"/>
      <c r="BB26" s="141"/>
      <c r="BC26" s="185">
        <v>5000</v>
      </c>
      <c r="BD26" s="185"/>
      <c r="BE26" s="185"/>
      <c r="BF26" s="185"/>
      <c r="BG26" s="185"/>
      <c r="BH26" s="185"/>
      <c r="BI26" s="185"/>
      <c r="BJ26" s="185"/>
      <c r="BK26" s="185"/>
      <c r="BL26" s="185"/>
      <c r="BM26" s="186"/>
      <c r="BN26" s="186"/>
      <c r="BO26" s="186"/>
      <c r="BP26" s="186"/>
      <c r="BQ26" s="186"/>
      <c r="BR26" s="186"/>
      <c r="BS26" s="5"/>
      <c r="BT26" s="5"/>
      <c r="BV26" s="83" t="s">
        <v>159</v>
      </c>
      <c r="BZ26" s="301">
        <f>IF(E26&lt;&gt;0,1,0)</f>
        <v>0</v>
      </c>
      <c r="CE26" s="1" t="s">
        <v>426</v>
      </c>
    </row>
    <row r="27" spans="2:84" ht="25.05" customHeight="1" thickBot="1" x14ac:dyDescent="0.35">
      <c r="B27" s="66"/>
      <c r="C27" s="67"/>
      <c r="D27" s="67"/>
      <c r="E27" s="502" t="s">
        <v>79</v>
      </c>
      <c r="F27" s="502"/>
      <c r="G27" s="502"/>
      <c r="H27" s="323">
        <f>SUM(H22:H26)</f>
        <v>0</v>
      </c>
      <c r="J27" s="486" t="s">
        <v>84</v>
      </c>
      <c r="K27" s="487"/>
      <c r="L27" s="487"/>
      <c r="M27" s="487"/>
      <c r="N27" s="236" t="s">
        <v>196</v>
      </c>
      <c r="O27" s="299">
        <f>ROUNDUP((IF(C22=BV10,(E22+F22)*2*G22,0)+IF(C23=BV10,(E23+F23)*2*G23,0)+IF(C24=BV10,(E24+F24)*2*G24,0)+IF(C25=BV10,(E25+F25)*2*G25,0)+IF(C26=BV10,(E26+F26)*2*G26,0))/1000,0)</f>
        <v>12</v>
      </c>
      <c r="P27" s="296"/>
      <c r="Q27" s="296"/>
      <c r="R27" s="287">
        <f>O27*Цены!J178</f>
        <v>531.96</v>
      </c>
      <c r="S27" s="273"/>
      <c r="T27" s="273"/>
      <c r="U27" s="5"/>
      <c r="V27" s="5"/>
      <c r="W27" s="5"/>
      <c r="X27" s="78"/>
      <c r="Y27" s="78"/>
      <c r="Z27" s="78"/>
      <c r="AA27" s="78"/>
      <c r="AB27" s="78"/>
      <c r="AI27" s="443"/>
      <c r="AJ27" s="443"/>
      <c r="AK27" s="443"/>
      <c r="AL27" s="443"/>
      <c r="AM27" s="443"/>
      <c r="AN27" s="443"/>
      <c r="AO27" s="443"/>
      <c r="AP27" s="443"/>
      <c r="AQ27" s="443"/>
      <c r="AR27" s="443"/>
      <c r="AS27" s="443"/>
      <c r="AT27" s="443"/>
      <c r="AU27" s="443"/>
      <c r="AV27" s="443"/>
      <c r="AW27" s="443"/>
      <c r="AX27" s="5"/>
      <c r="AY27" s="54" t="s">
        <v>271</v>
      </c>
      <c r="AZ27" s="141" t="s">
        <v>264</v>
      </c>
      <c r="BA27" s="141"/>
      <c r="BB27" s="141"/>
      <c r="BC27" s="141">
        <v>5075</v>
      </c>
      <c r="BD27" s="185"/>
      <c r="BE27" s="141"/>
      <c r="BF27" s="141"/>
      <c r="BG27" s="141"/>
      <c r="BH27" s="141"/>
      <c r="BI27" s="141"/>
      <c r="BJ27" s="141"/>
      <c r="BK27" s="141"/>
      <c r="BL27" s="141"/>
      <c r="BM27" s="186"/>
      <c r="BN27" s="186"/>
      <c r="BO27" s="186"/>
      <c r="BP27" s="186"/>
      <c r="BQ27" s="186"/>
      <c r="BR27" s="186"/>
      <c r="BS27" s="5"/>
      <c r="BT27" s="5"/>
      <c r="BV27" s="83" t="s">
        <v>129</v>
      </c>
      <c r="CE27" s="1" t="s">
        <v>527</v>
      </c>
    </row>
    <row r="28" spans="2:84" ht="25.05" customHeight="1" x14ac:dyDescent="0.3">
      <c r="B28" s="66"/>
      <c r="C28" s="583" t="str">
        <f>IF((SUM(BZ22:BZ26)/C18)&lt;&gt;1,BV21,BV22)</f>
        <v>Верно внесены высоты вставок</v>
      </c>
      <c r="D28" s="583"/>
      <c r="E28" s="329">
        <f>IF(C28=BV22,1,0)</f>
        <v>1</v>
      </c>
      <c r="F28" s="329"/>
      <c r="G28" s="329"/>
      <c r="H28" s="68"/>
      <c r="J28" s="601" t="s">
        <v>80</v>
      </c>
      <c r="K28" s="602"/>
      <c r="L28" s="602"/>
      <c r="M28" s="602"/>
      <c r="N28" s="236" t="s">
        <v>197</v>
      </c>
      <c r="O28" s="231">
        <f>IF(AND(E11=BV25,E8=BV59),O25,0)</f>
        <v>0</v>
      </c>
      <c r="P28" s="250"/>
      <c r="Q28" s="250"/>
      <c r="R28" s="287">
        <f>O28*Цены!J171</f>
        <v>0</v>
      </c>
      <c r="S28" s="273"/>
      <c r="T28" s="273"/>
      <c r="U28" s="5"/>
      <c r="V28" s="5"/>
      <c r="W28" s="5"/>
      <c r="X28" s="78"/>
      <c r="Y28" s="78"/>
      <c r="Z28" s="78"/>
      <c r="AA28" s="78"/>
      <c r="AB28" s="78"/>
      <c r="AC28" s="78"/>
      <c r="AD28" s="5"/>
      <c r="AE28" s="5"/>
      <c r="AF28" s="5"/>
      <c r="AG28" s="5"/>
      <c r="AH28" s="89"/>
      <c r="AI28" s="89"/>
      <c r="AJ28" s="89"/>
      <c r="AK28" s="89"/>
      <c r="AL28" s="89"/>
      <c r="AM28" s="89"/>
      <c r="AN28" s="89"/>
      <c r="AO28" s="89"/>
      <c r="AP28" s="89"/>
      <c r="AQ28" s="89"/>
      <c r="AR28" s="89"/>
      <c r="AS28" s="89"/>
      <c r="AT28" s="89"/>
      <c r="AU28" s="89"/>
      <c r="AV28" s="89"/>
      <c r="AW28" s="89"/>
      <c r="AX28" s="5"/>
      <c r="AY28" s="146">
        <f>IF(C22=$BV$8,(F22*E22/1000000)*8,IF(C22=$BV$9,(F22*E22/1000000)*6.5,(F22*E22/1000000)*11))</f>
        <v>11.897501</v>
      </c>
      <c r="AZ28" s="185" t="s">
        <v>265</v>
      </c>
      <c r="BA28" s="185"/>
      <c r="BB28" s="185"/>
      <c r="BC28" s="141">
        <v>5400</v>
      </c>
      <c r="BD28" s="185"/>
      <c r="BE28" s="141"/>
      <c r="BF28" s="141"/>
      <c r="BG28" s="141"/>
      <c r="BH28" s="141"/>
      <c r="BI28" s="141"/>
      <c r="BJ28" s="141"/>
      <c r="BK28" s="141"/>
      <c r="BL28" s="141"/>
      <c r="BM28" s="186"/>
      <c r="BN28" s="186"/>
      <c r="BO28" s="186"/>
      <c r="BP28" s="186"/>
      <c r="BQ28" s="186"/>
      <c r="BR28" s="186"/>
      <c r="BS28" s="5"/>
      <c r="BT28" s="5"/>
      <c r="BV28" s="1" t="s">
        <v>76</v>
      </c>
      <c r="CE28" s="1" t="s">
        <v>525</v>
      </c>
    </row>
    <row r="29" spans="2:84" ht="25.05" customHeight="1" x14ac:dyDescent="0.3">
      <c r="B29" s="66"/>
      <c r="C29" s="67"/>
      <c r="D29" s="67"/>
      <c r="E29" s="67"/>
      <c r="F29" s="67"/>
      <c r="G29" s="67"/>
      <c r="H29" s="68"/>
      <c r="J29" s="496" t="s">
        <v>166</v>
      </c>
      <c r="K29" s="497"/>
      <c r="L29" s="497"/>
      <c r="M29" s="497"/>
      <c r="N29" s="237" t="s">
        <v>198</v>
      </c>
      <c r="O29" s="339">
        <f>IF(AND(E11=BV26,E8=BV59),O25,0)</f>
        <v>0</v>
      </c>
      <c r="P29" s="249"/>
      <c r="Q29" s="249"/>
      <c r="R29" s="262">
        <f>O29*Цены!J132</f>
        <v>0</v>
      </c>
      <c r="S29" s="243"/>
      <c r="T29" s="243"/>
      <c r="U29" s="5"/>
      <c r="V29" s="5"/>
      <c r="W29" s="5"/>
      <c r="X29" s="78"/>
      <c r="Y29" s="78"/>
      <c r="Z29" s="78"/>
      <c r="AA29" s="78"/>
      <c r="AB29" s="78"/>
      <c r="AC29" s="78"/>
      <c r="AD29" s="5"/>
      <c r="AE29" s="5"/>
      <c r="AF29" s="5"/>
      <c r="AG29" s="5"/>
      <c r="AH29" s="89"/>
      <c r="AI29" s="89"/>
      <c r="AJ29" s="89"/>
      <c r="AK29" s="89"/>
      <c r="AL29" s="89"/>
      <c r="AM29" s="89"/>
      <c r="AN29" s="89"/>
      <c r="AO29" s="89"/>
      <c r="AP29" s="89"/>
      <c r="AQ29" s="89"/>
      <c r="AR29" s="89"/>
      <c r="AS29" s="89"/>
      <c r="AT29" s="89"/>
      <c r="AU29" s="89"/>
      <c r="AV29" s="89"/>
      <c r="AW29" s="89"/>
      <c r="AX29" s="5"/>
      <c r="AY29" s="146">
        <f>IF(C23=$BV$8,(F23*E23/1000000)*8,IF(C23=$BV$9,(F23*E23/1000000)*6.5,(F23*E23/1000000)*11))</f>
        <v>0</v>
      </c>
      <c r="AZ29" s="96">
        <v>1000</v>
      </c>
      <c r="BA29" s="96">
        <v>1250</v>
      </c>
      <c r="BB29" s="96">
        <v>1800</v>
      </c>
      <c r="BC29" s="96">
        <v>2000</v>
      </c>
      <c r="BD29" s="96">
        <v>2500</v>
      </c>
      <c r="BE29" s="96">
        <v>2700</v>
      </c>
      <c r="BF29" s="96">
        <v>3000</v>
      </c>
      <c r="BG29" s="96">
        <v>3600</v>
      </c>
      <c r="BH29" s="96">
        <v>3750</v>
      </c>
      <c r="BI29" s="96">
        <v>4000</v>
      </c>
      <c r="BJ29" s="96">
        <v>5000</v>
      </c>
      <c r="BK29" s="142">
        <v>5400</v>
      </c>
      <c r="BL29" s="187"/>
      <c r="BM29" s="186"/>
      <c r="BN29" s="186"/>
      <c r="BO29" s="186"/>
      <c r="BP29" s="186"/>
      <c r="BQ29" s="186"/>
      <c r="BR29" s="186"/>
      <c r="BS29" s="5"/>
      <c r="BT29" s="5"/>
    </row>
    <row r="30" spans="2:84" ht="25.05" customHeight="1" x14ac:dyDescent="0.3">
      <c r="B30" s="66"/>
      <c r="C30" s="84"/>
      <c r="D30" s="84"/>
      <c r="E30" s="85"/>
      <c r="F30" s="85"/>
      <c r="G30" s="85"/>
      <c r="H30" s="68"/>
      <c r="J30" s="490" t="s">
        <v>76</v>
      </c>
      <c r="K30" s="491"/>
      <c r="L30" s="491"/>
      <c r="M30" s="491"/>
      <c r="N30" s="235" t="s">
        <v>199</v>
      </c>
      <c r="O30" s="234">
        <f>IF(E11=BV28,ROUNDUP(L9*M9/1000,0),0)</f>
        <v>0</v>
      </c>
      <c r="P30" s="253"/>
      <c r="Q30" s="253"/>
      <c r="R30" s="262">
        <f>O30*Цены!J161</f>
        <v>0</v>
      </c>
      <c r="S30" s="243"/>
      <c r="T30" s="243"/>
      <c r="U30" s="78"/>
      <c r="V30" s="78"/>
      <c r="W30" s="78"/>
      <c r="X30" s="78"/>
      <c r="Y30" s="78"/>
      <c r="Z30" s="78"/>
      <c r="AA30" s="78"/>
      <c r="AB30" s="78"/>
      <c r="AC30" s="78"/>
      <c r="AD30" s="78"/>
      <c r="AE30" s="78"/>
      <c r="AF30" s="78"/>
      <c r="AG30" s="78"/>
      <c r="AH30" s="277"/>
      <c r="AI30" s="277"/>
      <c r="AJ30" s="277"/>
      <c r="AK30" s="277"/>
      <c r="AL30" s="277"/>
      <c r="AM30" s="277"/>
      <c r="AN30" s="277"/>
      <c r="AO30" s="277"/>
      <c r="AP30" s="277"/>
      <c r="AQ30" s="277"/>
      <c r="AR30" s="277"/>
      <c r="AS30" s="277"/>
      <c r="AT30" s="277"/>
      <c r="AU30" s="277"/>
      <c r="AV30" s="277"/>
      <c r="AW30" s="277"/>
      <c r="AX30" s="5"/>
      <c r="AY30" s="146">
        <f>IF(C24=$BV$8,(F24*E24/1000000)*8,IF(C24=$BV$9,(F24*E24/1000000)*6.5,(F24*E24/1000000)*11))</f>
        <v>0</v>
      </c>
      <c r="AZ30" s="141">
        <v>0</v>
      </c>
      <c r="BA30" s="141">
        <v>0</v>
      </c>
      <c r="BB30" s="141">
        <v>0</v>
      </c>
      <c r="BC30" s="141">
        <v>0</v>
      </c>
      <c r="BD30" s="141">
        <v>0</v>
      </c>
      <c r="BE30" s="141">
        <v>0</v>
      </c>
      <c r="BF30" s="141">
        <v>0</v>
      </c>
      <c r="BG30" s="141">
        <v>0</v>
      </c>
      <c r="BH30" s="141">
        <v>0</v>
      </c>
      <c r="BI30" s="141">
        <v>0</v>
      </c>
      <c r="BJ30" s="141">
        <v>0</v>
      </c>
      <c r="BK30" s="315">
        <f>BK19</f>
        <v>2</v>
      </c>
      <c r="BL30" s="185"/>
      <c r="BM30" s="141"/>
      <c r="BN30" s="141"/>
      <c r="BO30" s="141"/>
      <c r="BP30" s="188"/>
      <c r="BQ30" s="188"/>
      <c r="BR30" s="188"/>
      <c r="BS30" s="5"/>
      <c r="BT30" s="5"/>
      <c r="BV30" s="79" t="s">
        <v>117</v>
      </c>
    </row>
    <row r="31" spans="2:84" ht="25.05" customHeight="1" x14ac:dyDescent="0.3">
      <c r="B31" s="66"/>
      <c r="C31" s="67"/>
      <c r="D31" s="67"/>
      <c r="E31" s="67"/>
      <c r="F31" s="67"/>
      <c r="G31" s="5"/>
      <c r="H31" s="11"/>
      <c r="J31" s="490" t="s">
        <v>129</v>
      </c>
      <c r="K31" s="491"/>
      <c r="L31" s="491"/>
      <c r="M31" s="491"/>
      <c r="N31" s="235" t="s">
        <v>200</v>
      </c>
      <c r="O31" s="234">
        <f>IF(E11=BV27,ROUNDUP(L9*M9/1000,0),0)</f>
        <v>11</v>
      </c>
      <c r="P31" s="253"/>
      <c r="Q31" s="253"/>
      <c r="R31" s="262">
        <f>O31*Цены!J180</f>
        <v>289.52</v>
      </c>
      <c r="S31" s="243"/>
      <c r="T31" s="243"/>
      <c r="AX31" s="5"/>
      <c r="AY31" s="146">
        <f>IF(C25=$BV$8,(F25*E25/1000000)*8,IF(C25=$BV$9,(F25*E25/1000000)*6.5,(F25*E25/1000000)*11))</f>
        <v>0</v>
      </c>
      <c r="AZ31" s="143">
        <v>0</v>
      </c>
      <c r="BA31" s="143">
        <v>0</v>
      </c>
      <c r="BB31" s="143">
        <v>0</v>
      </c>
      <c r="BC31" s="143">
        <v>0</v>
      </c>
      <c r="BD31" s="141">
        <f>IF(AND(BL31&gt;0,BL31&lt;=2500),1,0)</f>
        <v>1</v>
      </c>
      <c r="BE31" s="143">
        <v>0</v>
      </c>
      <c r="BF31" s="143">
        <v>0</v>
      </c>
      <c r="BG31" s="143">
        <v>0</v>
      </c>
      <c r="BH31" s="143">
        <v>0</v>
      </c>
      <c r="BI31" s="143">
        <v>0</v>
      </c>
      <c r="BJ31" s="141">
        <f>IF(AND(BL31&gt;2500,BL31&lt;=4950),BM31+1,BM31)</f>
        <v>0</v>
      </c>
      <c r="BK31" s="143">
        <v>0</v>
      </c>
      <c r="BL31" s="185">
        <f>BL20</f>
        <v>1648</v>
      </c>
      <c r="BM31" s="185">
        <f t="shared" ref="BM31:BR31" si="21">BM20</f>
        <v>0</v>
      </c>
      <c r="BN31" s="185">
        <f t="shared" si="21"/>
        <v>0</v>
      </c>
      <c r="BO31" s="185">
        <f t="shared" si="21"/>
        <v>0</v>
      </c>
      <c r="BP31" s="185">
        <f t="shared" si="21"/>
        <v>0</v>
      </c>
      <c r="BQ31" s="185" t="str">
        <f t="shared" si="21"/>
        <v>Цена 4в1</v>
      </c>
      <c r="BR31" s="185" t="str">
        <f t="shared" si="21"/>
        <v>Цена стандарт</v>
      </c>
      <c r="BS31" s="5"/>
      <c r="BT31" s="5"/>
      <c r="BV31" s="79" t="s">
        <v>94</v>
      </c>
    </row>
    <row r="32" spans="2:84" ht="25.05" customHeight="1" thickBot="1" x14ac:dyDescent="0.35">
      <c r="B32" s="66"/>
      <c r="C32" s="584" t="str">
        <f>IF(AND(SUM(BZ22:BZ26)/C18=1,E26=0,C18&lt;&gt;1),BV42,BV43)</f>
        <v xml:space="preserve"> </v>
      </c>
      <c r="D32" s="584"/>
      <c r="E32" s="85"/>
      <c r="F32" s="85"/>
      <c r="G32" s="85"/>
      <c r="H32" s="11"/>
      <c r="J32" s="490" t="s">
        <v>161</v>
      </c>
      <c r="K32" s="491"/>
      <c r="L32" s="491"/>
      <c r="M32" s="491"/>
      <c r="N32" s="294" t="s">
        <v>201</v>
      </c>
      <c r="O32" s="232">
        <f>IF(O31&gt;0,M9*2,0)</f>
        <v>8</v>
      </c>
      <c r="P32" s="251"/>
      <c r="Q32" s="251"/>
      <c r="R32" s="262">
        <f>O32*Цены!J176</f>
        <v>143.68</v>
      </c>
      <c r="S32" s="243"/>
      <c r="T32" s="243"/>
      <c r="U32" s="78"/>
      <c r="V32" s="78"/>
      <c r="W32" s="78"/>
      <c r="X32" s="78"/>
      <c r="Y32" s="78"/>
      <c r="Z32" s="78"/>
      <c r="AA32" s="78"/>
      <c r="AB32" s="78"/>
      <c r="AC32" s="78"/>
      <c r="AD32" s="78"/>
      <c r="AE32" s="78"/>
      <c r="AF32" s="78"/>
      <c r="AG32" s="78"/>
      <c r="AH32" s="277"/>
      <c r="AI32" s="277"/>
      <c r="AJ32" s="277"/>
      <c r="AK32" s="277"/>
      <c r="AL32" s="277"/>
      <c r="AM32" s="277"/>
      <c r="AN32" s="277"/>
      <c r="AO32" s="277"/>
      <c r="AP32" s="277"/>
      <c r="AQ32" s="277"/>
      <c r="AR32" s="277"/>
      <c r="AS32" s="277"/>
      <c r="AT32" s="277"/>
      <c r="AU32" s="277"/>
      <c r="AV32" s="277"/>
      <c r="AW32" s="277"/>
      <c r="AX32" s="5"/>
      <c r="AY32" s="146">
        <f>IF(C26=$BV$8,(F26*E26/1000000)*8,IF(C26=$BV$9,(F26*E26/1000000)*6.5,(F26*E26/1000000)*11))</f>
        <v>0</v>
      </c>
      <c r="AZ32" s="143">
        <v>0</v>
      </c>
      <c r="BA32" s="143">
        <v>0</v>
      </c>
      <c r="BB32" s="143">
        <v>0</v>
      </c>
      <c r="BC32" s="143"/>
      <c r="BD32" s="190">
        <f>IF(AND(J11=BY5,BL32&gt;0,BL32&lt;=2500),1,0)</f>
        <v>0</v>
      </c>
      <c r="BE32" s="191">
        <f>IF(AND(J11=BY4,BO32&gt;0,BO32&lt;=2700),1,0)</f>
        <v>0</v>
      </c>
      <c r="BF32" s="143">
        <v>0</v>
      </c>
      <c r="BG32" s="143">
        <v>0</v>
      </c>
      <c r="BH32" s="143">
        <v>0</v>
      </c>
      <c r="BI32" s="143">
        <v>0</v>
      </c>
      <c r="BJ32" s="190">
        <f>IF(AND(J11=BY5,BL32&gt;2500,BL32&lt;=4950),BM32+1,BM32)</f>
        <v>0</v>
      </c>
      <c r="BK32" s="191">
        <f>IF(AND(J11=BY4,BO32&gt;2700,BO32&lt;=5350),BP32+1,BP32)</f>
        <v>0</v>
      </c>
      <c r="BL32" s="185">
        <f t="shared" ref="BL32:BR32" si="22">BL21</f>
        <v>0</v>
      </c>
      <c r="BM32" s="185">
        <f t="shared" si="22"/>
        <v>0</v>
      </c>
      <c r="BN32" s="185">
        <f t="shared" si="22"/>
        <v>0</v>
      </c>
      <c r="BO32" s="185">
        <f t="shared" si="22"/>
        <v>0</v>
      </c>
      <c r="BP32" s="185">
        <f t="shared" si="22"/>
        <v>0</v>
      </c>
      <c r="BQ32" s="185">
        <f t="shared" si="22"/>
        <v>0</v>
      </c>
      <c r="BR32" s="185">
        <f t="shared" si="22"/>
        <v>0</v>
      </c>
      <c r="BS32" s="5"/>
      <c r="BT32" s="5"/>
    </row>
    <row r="33" spans="2:74" ht="25.05" customHeight="1" thickBot="1" x14ac:dyDescent="0.35">
      <c r="B33" s="66"/>
      <c r="C33" s="67"/>
      <c r="D33" s="67"/>
      <c r="E33" s="67"/>
      <c r="F33" s="67"/>
      <c r="G33" s="67"/>
      <c r="H33" s="11"/>
      <c r="J33" s="490" t="s">
        <v>177</v>
      </c>
      <c r="K33" s="491"/>
      <c r="L33" s="491"/>
      <c r="M33" s="491"/>
      <c r="N33" s="236" t="s">
        <v>209</v>
      </c>
      <c r="O33" s="232">
        <f>IF(E14=BV46,E9,0)</f>
        <v>0</v>
      </c>
      <c r="P33" s="251"/>
      <c r="Q33" s="251"/>
      <c r="R33" s="262">
        <f>O33*Цены!J118</f>
        <v>0</v>
      </c>
      <c r="S33" s="243"/>
      <c r="T33" s="243"/>
      <c r="U33" s="78"/>
      <c r="V33" s="78"/>
      <c r="W33" s="78"/>
      <c r="X33" s="78"/>
      <c r="Y33" s="78"/>
      <c r="Z33" s="78"/>
      <c r="AA33" s="78"/>
      <c r="AB33" s="78"/>
      <c r="AC33" s="78"/>
      <c r="AD33" s="5"/>
      <c r="AE33" s="5"/>
      <c r="AF33" s="5"/>
      <c r="AG33" s="5"/>
      <c r="AH33" s="89"/>
      <c r="AI33" s="89"/>
      <c r="AJ33" s="89"/>
      <c r="AK33" s="89"/>
      <c r="AL33" s="89"/>
      <c r="AM33" s="89"/>
      <c r="AN33" s="89"/>
      <c r="AO33" s="89"/>
      <c r="AP33" s="89"/>
      <c r="AQ33" s="89"/>
      <c r="AR33" s="89"/>
      <c r="AS33" s="89"/>
      <c r="AT33" s="89"/>
      <c r="AU33" s="89"/>
      <c r="AV33" s="89"/>
      <c r="AW33" s="89"/>
      <c r="AX33" s="5"/>
      <c r="AY33" s="290">
        <f>SUM(AY28:AY32)</f>
        <v>11.897501</v>
      </c>
      <c r="AZ33" s="192">
        <v>0</v>
      </c>
      <c r="BA33" s="192">
        <v>0</v>
      </c>
      <c r="BB33" s="192">
        <v>0</v>
      </c>
      <c r="BC33" s="192">
        <v>0</v>
      </c>
      <c r="BD33" s="192">
        <v>0</v>
      </c>
      <c r="BE33" s="141">
        <f>IF(AND(BO33&gt;0,BO33&lt;=2700),1,0)</f>
        <v>1</v>
      </c>
      <c r="BF33" s="192">
        <v>0</v>
      </c>
      <c r="BG33" s="192">
        <v>0</v>
      </c>
      <c r="BH33" s="192">
        <v>0</v>
      </c>
      <c r="BI33" s="192">
        <v>0</v>
      </c>
      <c r="BJ33" s="192">
        <v>0</v>
      </c>
      <c r="BK33" s="141">
        <f>IF(AND(BO33&gt;2700,BO33&lt;=5350),BP33+1,BP33)</f>
        <v>0</v>
      </c>
      <c r="BL33" s="185">
        <f t="shared" ref="BL33:BR33" si="23">BL22</f>
        <v>0</v>
      </c>
      <c r="BM33" s="185">
        <f t="shared" si="23"/>
        <v>0</v>
      </c>
      <c r="BN33" s="185">
        <f t="shared" si="23"/>
        <v>0</v>
      </c>
      <c r="BO33" s="185">
        <f t="shared" si="23"/>
        <v>1080</v>
      </c>
      <c r="BP33" s="185">
        <f t="shared" si="23"/>
        <v>0</v>
      </c>
      <c r="BQ33" s="185">
        <f t="shared" si="23"/>
        <v>0</v>
      </c>
      <c r="BR33" s="185">
        <f t="shared" si="23"/>
        <v>0</v>
      </c>
      <c r="BS33" s="5"/>
      <c r="BT33" s="5"/>
      <c r="BV33" s="54" t="s">
        <v>71</v>
      </c>
    </row>
    <row r="34" spans="2:74" ht="25.05" customHeight="1" x14ac:dyDescent="0.3">
      <c r="B34" s="66"/>
      <c r="C34" s="67"/>
      <c r="D34" s="67"/>
      <c r="E34" s="67"/>
      <c r="F34" s="67"/>
      <c r="G34" s="67"/>
      <c r="H34" s="11"/>
      <c r="J34" s="490" t="s">
        <v>238</v>
      </c>
      <c r="K34" s="491"/>
      <c r="L34" s="491"/>
      <c r="M34" s="491"/>
      <c r="N34" s="236" t="s">
        <v>242</v>
      </c>
      <c r="O34" s="232">
        <f>IF(E8=BV60,E9,0)</f>
        <v>2</v>
      </c>
      <c r="P34" s="251"/>
      <c r="Q34" s="251"/>
      <c r="R34" s="262">
        <f>O34*Цены!J124</f>
        <v>5071.76</v>
      </c>
      <c r="S34" s="243"/>
      <c r="T34" s="243"/>
      <c r="U34" s="78"/>
      <c r="V34" s="78"/>
      <c r="W34" s="78"/>
      <c r="X34" s="78"/>
      <c r="Y34" s="78"/>
      <c r="Z34" s="78"/>
      <c r="AA34" s="78"/>
      <c r="AB34" s="78"/>
      <c r="AC34" s="78"/>
      <c r="AD34" s="5"/>
      <c r="AE34" s="5"/>
      <c r="AF34" s="5"/>
      <c r="AG34" s="5"/>
      <c r="AH34" s="89"/>
      <c r="AI34" s="89"/>
      <c r="AJ34" s="89"/>
      <c r="AK34" s="89"/>
      <c r="AL34" s="89"/>
      <c r="AM34" s="89"/>
      <c r="AN34" s="89"/>
      <c r="AO34" s="89"/>
      <c r="AP34" s="89"/>
      <c r="AQ34" s="89"/>
      <c r="AR34" s="89"/>
      <c r="AS34" s="89"/>
      <c r="AT34" s="89"/>
      <c r="AU34" s="89"/>
      <c r="AV34" s="89"/>
      <c r="AW34" s="89"/>
      <c r="AX34" s="5"/>
      <c r="AY34" s="5"/>
      <c r="AZ34" s="5"/>
      <c r="BA34" s="5"/>
      <c r="BB34" s="5"/>
      <c r="BC34" s="5"/>
      <c r="BD34" s="5"/>
      <c r="BE34" s="5"/>
      <c r="BF34" s="5"/>
      <c r="BI34" s="5"/>
      <c r="BJ34" s="5"/>
      <c r="BK34" s="5"/>
      <c r="BM34" s="5"/>
      <c r="BN34" s="5"/>
      <c r="BO34" s="5"/>
      <c r="BP34" s="5"/>
      <c r="BQ34" s="5"/>
      <c r="BR34" s="5"/>
      <c r="BS34" s="5"/>
      <c r="BT34" s="5"/>
      <c r="BV34" s="54" t="s">
        <v>168</v>
      </c>
    </row>
    <row r="35" spans="2:74" ht="25.05" customHeight="1" thickBot="1" x14ac:dyDescent="0.4">
      <c r="B35" s="86"/>
      <c r="C35" s="87"/>
      <c r="D35" s="329"/>
      <c r="E35" s="329"/>
      <c r="F35" s="329"/>
      <c r="G35" s="329"/>
      <c r="H35" s="11"/>
      <c r="J35" s="599" t="s">
        <v>162</v>
      </c>
      <c r="K35" s="600"/>
      <c r="L35" s="600"/>
      <c r="M35" s="600"/>
      <c r="N35" s="465" t="s">
        <v>210</v>
      </c>
      <c r="O35" s="455">
        <f>E12</f>
        <v>0</v>
      </c>
      <c r="P35" s="251"/>
      <c r="Q35" s="251"/>
      <c r="R35" s="300">
        <f>O35*Цены!J147</f>
        <v>0</v>
      </c>
      <c r="S35" s="243"/>
      <c r="T35" s="243"/>
      <c r="U35" s="78"/>
      <c r="V35" s="78"/>
      <c r="W35" s="78"/>
      <c r="X35" s="78"/>
      <c r="Y35" s="78"/>
      <c r="Z35" s="78"/>
      <c r="AA35" s="78"/>
      <c r="AB35" s="78"/>
      <c r="AC35" s="78"/>
      <c r="AD35" s="5"/>
      <c r="AE35" s="5"/>
      <c r="AF35" s="5"/>
      <c r="AG35" s="5"/>
      <c r="AH35" s="89"/>
      <c r="AI35" s="89"/>
      <c r="AJ35" s="89"/>
      <c r="AK35" s="89"/>
      <c r="AL35" s="89"/>
      <c r="AM35" s="89"/>
      <c r="AN35" s="89"/>
      <c r="AO35" s="89"/>
      <c r="AP35" s="89"/>
      <c r="AQ35" s="89"/>
      <c r="AR35" s="89"/>
      <c r="AS35" s="89"/>
      <c r="AT35" s="89"/>
      <c r="AU35" s="89"/>
      <c r="AV35" s="89"/>
      <c r="AW35" s="89"/>
      <c r="AX35" s="5"/>
      <c r="AY35" s="5"/>
      <c r="AZ35" s="5"/>
      <c r="BA35" s="5"/>
      <c r="BB35" s="5"/>
      <c r="BC35" s="5"/>
      <c r="BD35" s="5"/>
      <c r="BE35" s="241" t="s">
        <v>525</v>
      </c>
      <c r="BF35" s="5"/>
      <c r="BI35" s="5"/>
      <c r="BJ35" s="5"/>
      <c r="BK35" s="5"/>
      <c r="BM35" s="5"/>
      <c r="BN35" s="5"/>
      <c r="BO35" s="5"/>
      <c r="BP35" s="5"/>
      <c r="BQ35" s="5"/>
      <c r="BR35" s="5"/>
      <c r="BS35" s="5"/>
      <c r="BT35" s="5"/>
      <c r="BV35" s="54" t="s">
        <v>169</v>
      </c>
    </row>
    <row r="36" spans="2:74" ht="25.05" customHeight="1" thickBot="1" x14ac:dyDescent="0.35">
      <c r="B36" s="12"/>
      <c r="C36" s="6"/>
      <c r="D36" s="6"/>
      <c r="E36" s="6"/>
      <c r="F36" s="6"/>
      <c r="G36" s="6"/>
      <c r="H36" s="13"/>
      <c r="J36" s="112"/>
      <c r="K36" s="466"/>
      <c r="L36" s="467"/>
      <c r="M36" s="467"/>
      <c r="N36" s="467"/>
      <c r="O36" s="138"/>
      <c r="R36" s="283">
        <f>SUM(R19:R35)</f>
        <v>8258.380000000001</v>
      </c>
      <c r="S36" s="257"/>
      <c r="T36" s="257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89"/>
      <c r="AI36" s="89"/>
      <c r="AJ36" s="89"/>
      <c r="AK36" s="89"/>
      <c r="AL36" s="89"/>
      <c r="AM36" s="89"/>
      <c r="AN36" s="89"/>
      <c r="AO36" s="89"/>
      <c r="AP36" s="89"/>
      <c r="AQ36" s="89"/>
      <c r="AR36" s="89"/>
      <c r="AS36" s="89"/>
      <c r="AT36" s="89"/>
      <c r="AU36" s="89"/>
      <c r="AV36" s="89"/>
      <c r="AW36" s="89"/>
      <c r="AX36" s="5"/>
      <c r="AY36" s="5"/>
      <c r="BS36" s="5"/>
      <c r="BT36" s="5"/>
    </row>
    <row r="37" spans="2:74" ht="25.05" customHeight="1" thickBot="1" x14ac:dyDescent="0.4">
      <c r="B37" s="86"/>
      <c r="C37" s="87"/>
      <c r="D37" s="329"/>
      <c r="E37" s="329"/>
      <c r="F37" s="329"/>
      <c r="G37" s="325" t="s">
        <v>268</v>
      </c>
      <c r="H37" s="148">
        <f>ROUNDUP((AY15+AY33)*1.1,0)</f>
        <v>18</v>
      </c>
      <c r="J37" s="5"/>
      <c r="K37" s="5"/>
      <c r="L37" s="5"/>
      <c r="M37" s="5"/>
      <c r="N37" s="5"/>
      <c r="O37" s="5"/>
      <c r="Q37" s="567" t="s">
        <v>432</v>
      </c>
      <c r="R37" s="89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89"/>
      <c r="AI37" s="89"/>
      <c r="AJ37" s="89"/>
      <c r="AK37" s="89"/>
      <c r="AL37" s="89"/>
      <c r="AM37" s="89"/>
      <c r="AN37" s="89"/>
      <c r="AO37" s="89"/>
      <c r="AP37" s="89"/>
      <c r="AQ37" s="89"/>
      <c r="AR37" s="89"/>
      <c r="AS37" s="89"/>
      <c r="AT37" s="89"/>
      <c r="AU37" s="89"/>
      <c r="AV37" s="89"/>
      <c r="AW37" s="89"/>
      <c r="AX37" s="5"/>
      <c r="AY37" s="5"/>
      <c r="AZ37" s="141" t="s">
        <v>263</v>
      </c>
      <c r="BA37" s="141"/>
      <c r="BB37" s="141"/>
      <c r="BC37" s="185">
        <v>5000</v>
      </c>
      <c r="BD37" s="185"/>
      <c r="BE37" s="185"/>
      <c r="BF37" s="185"/>
      <c r="BG37" s="185"/>
      <c r="BH37" s="185"/>
      <c r="BI37" s="185"/>
      <c r="BJ37" s="185"/>
      <c r="BK37" s="185"/>
      <c r="BL37" s="185"/>
      <c r="BM37" s="186"/>
      <c r="BN37" s="186"/>
      <c r="BO37" s="186"/>
      <c r="BP37" s="186"/>
      <c r="BQ37" s="186"/>
      <c r="BR37" s="186"/>
      <c r="BS37" s="5"/>
      <c r="BT37" s="5"/>
    </row>
    <row r="38" spans="2:74" ht="25.05" customHeight="1" thickBot="1" x14ac:dyDescent="0.4">
      <c r="B38" s="91"/>
      <c r="C38" s="92"/>
      <c r="D38" s="93"/>
      <c r="E38" s="93"/>
      <c r="F38" s="93"/>
      <c r="G38" s="93"/>
      <c r="H38" s="94"/>
      <c r="J38" s="5"/>
      <c r="K38" s="5"/>
      <c r="L38" s="479" t="s">
        <v>528</v>
      </c>
      <c r="M38" s="479"/>
      <c r="N38" s="479"/>
      <c r="O38" s="479"/>
      <c r="Q38" s="567"/>
      <c r="R38" s="282">
        <f>R13+R36+H27</f>
        <v>23678.58</v>
      </c>
      <c r="S38" s="272"/>
      <c r="T38" s="272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89"/>
      <c r="AI38" s="89"/>
      <c r="AJ38" s="89"/>
      <c r="AK38" s="89"/>
      <c r="AL38" s="89"/>
      <c r="AM38" s="89"/>
      <c r="AN38" s="89"/>
      <c r="AO38" s="89"/>
      <c r="AP38" s="89"/>
      <c r="AQ38" s="89"/>
      <c r="AR38" s="89"/>
      <c r="AS38" s="89"/>
      <c r="AT38" s="89"/>
      <c r="AU38" s="89"/>
      <c r="AV38" s="89"/>
      <c r="AW38" s="89"/>
      <c r="AX38" s="5"/>
      <c r="AY38" s="5"/>
      <c r="AZ38" s="141" t="s">
        <v>264</v>
      </c>
      <c r="BA38" s="141"/>
      <c r="BB38" s="141"/>
      <c r="BC38" s="141">
        <v>5075</v>
      </c>
      <c r="BD38" s="185"/>
      <c r="BE38" s="141"/>
      <c r="BF38" s="141"/>
      <c r="BG38" s="141"/>
      <c r="BH38" s="141"/>
      <c r="BI38" s="141"/>
      <c r="BJ38" s="141"/>
      <c r="BK38" s="141"/>
      <c r="BL38" s="141"/>
      <c r="BM38" s="186"/>
      <c r="BN38" s="186"/>
      <c r="BO38" s="186"/>
      <c r="BP38" s="186"/>
      <c r="BQ38" s="186"/>
      <c r="BR38" s="186"/>
      <c r="BS38" s="5"/>
      <c r="BT38" s="5"/>
    </row>
    <row r="39" spans="2:74" ht="25.05" customHeight="1" x14ac:dyDescent="0.3">
      <c r="AZ39" s="185" t="s">
        <v>265</v>
      </c>
      <c r="BA39" s="185"/>
      <c r="BB39" s="185"/>
      <c r="BC39" s="141">
        <v>5400</v>
      </c>
      <c r="BD39" s="185"/>
      <c r="BE39" s="141"/>
      <c r="BF39" s="141"/>
      <c r="BG39" s="141"/>
      <c r="BH39" s="141"/>
      <c r="BI39" s="141"/>
      <c r="BJ39" s="141"/>
      <c r="BK39" s="141"/>
      <c r="BL39" s="141"/>
      <c r="BM39" s="186"/>
      <c r="BN39" s="186"/>
      <c r="BO39" s="186"/>
      <c r="BP39" s="186"/>
      <c r="BQ39" s="186"/>
      <c r="BR39" s="186"/>
    </row>
    <row r="40" spans="2:74" ht="25.05" customHeight="1" x14ac:dyDescent="0.3">
      <c r="AZ40" s="96">
        <v>1000</v>
      </c>
      <c r="BA40" s="96">
        <v>1250</v>
      </c>
      <c r="BB40" s="96">
        <v>1800</v>
      </c>
      <c r="BC40" s="96">
        <v>2000</v>
      </c>
      <c r="BD40" s="96">
        <v>2500</v>
      </c>
      <c r="BE40" s="96">
        <v>2700</v>
      </c>
      <c r="BF40" s="96">
        <v>3000</v>
      </c>
      <c r="BG40" s="96">
        <v>3600</v>
      </c>
      <c r="BH40" s="96">
        <v>3750</v>
      </c>
      <c r="BI40" s="96">
        <v>4000</v>
      </c>
      <c r="BJ40" s="96">
        <v>5000</v>
      </c>
      <c r="BK40" s="142">
        <v>5400</v>
      </c>
      <c r="BL40" s="187"/>
      <c r="BM40" s="186"/>
      <c r="BN40" s="186"/>
      <c r="BO40" s="186"/>
      <c r="BP40" s="186"/>
      <c r="BQ40" s="186"/>
      <c r="BR40" s="186"/>
    </row>
    <row r="41" spans="2:74" ht="25.05" customHeight="1" x14ac:dyDescent="0.3">
      <c r="AZ41" s="141">
        <v>0</v>
      </c>
      <c r="BA41" s="141">
        <v>0</v>
      </c>
      <c r="BB41" s="141">
        <v>0</v>
      </c>
      <c r="BC41" s="141">
        <v>0</v>
      </c>
      <c r="BD41" s="141">
        <v>0</v>
      </c>
      <c r="BE41" s="141">
        <v>0</v>
      </c>
      <c r="BF41" s="141">
        <v>0</v>
      </c>
      <c r="BG41" s="141">
        <v>0</v>
      </c>
      <c r="BH41" s="141">
        <v>0</v>
      </c>
      <c r="BI41" s="141">
        <v>0</v>
      </c>
      <c r="BJ41" s="141">
        <v>0</v>
      </c>
      <c r="BK41" s="315">
        <f>BK30</f>
        <v>2</v>
      </c>
      <c r="BL41" s="185"/>
      <c r="BM41" s="141"/>
      <c r="BN41" s="141"/>
      <c r="BO41" s="141"/>
      <c r="BP41" s="188"/>
      <c r="BQ41" s="188"/>
      <c r="BR41" s="188"/>
    </row>
    <row r="42" spans="2:74" ht="25.05" customHeight="1" x14ac:dyDescent="0.35">
      <c r="AZ42" s="143">
        <v>0</v>
      </c>
      <c r="BA42" s="143">
        <v>0</v>
      </c>
      <c r="BB42" s="143">
        <v>0</v>
      </c>
      <c r="BC42" s="143">
        <v>0</v>
      </c>
      <c r="BD42" s="141">
        <f>IF(AND(BL42&gt;0,BL42&lt;=2500),1,0)</f>
        <v>1</v>
      </c>
      <c r="BE42" s="143">
        <v>0</v>
      </c>
      <c r="BF42" s="143">
        <v>0</v>
      </c>
      <c r="BG42" s="143">
        <v>0</v>
      </c>
      <c r="BH42" s="143">
        <v>0</v>
      </c>
      <c r="BI42" s="143">
        <v>0</v>
      </c>
      <c r="BJ42" s="141">
        <f>IF(AND(BL42&gt;2500,BL42&lt;=4950),BM42+1,BM42)</f>
        <v>0</v>
      </c>
      <c r="BK42" s="143">
        <v>0</v>
      </c>
      <c r="BL42" s="185">
        <f>BL31</f>
        <v>1648</v>
      </c>
      <c r="BM42" s="185">
        <f t="shared" ref="BM42:BR42" si="24">BM31</f>
        <v>0</v>
      </c>
      <c r="BN42" s="185">
        <f t="shared" si="24"/>
        <v>0</v>
      </c>
      <c r="BO42" s="185">
        <f t="shared" si="24"/>
        <v>0</v>
      </c>
      <c r="BP42" s="185">
        <f t="shared" si="24"/>
        <v>0</v>
      </c>
      <c r="BQ42" s="185" t="str">
        <f t="shared" si="24"/>
        <v>Цена 4в1</v>
      </c>
      <c r="BR42" s="185" t="str">
        <f t="shared" si="24"/>
        <v>Цена стандарт</v>
      </c>
      <c r="BV42" s="90" t="s">
        <v>126</v>
      </c>
    </row>
    <row r="43" spans="2:74" ht="25.05" customHeight="1" x14ac:dyDescent="0.3">
      <c r="AZ43" s="143">
        <v>0</v>
      </c>
      <c r="BA43" s="143">
        <v>0</v>
      </c>
      <c r="BB43" s="191">
        <f>IF(AND(J11=BY4,BO43&gt;0,BO43&lt;=1800),1,0)</f>
        <v>0</v>
      </c>
      <c r="BC43" s="143">
        <v>0</v>
      </c>
      <c r="BD43" s="190">
        <f>IF(AND(J11=BY5,BL43&gt;0,BL43&lt;=2500),1,0)</f>
        <v>0</v>
      </c>
      <c r="BE43" s="191">
        <f>IF(AND(J11=BY4,BO43&gt;1800,BO43&lt;=2700),1,0)</f>
        <v>0</v>
      </c>
      <c r="BF43" s="143">
        <v>0</v>
      </c>
      <c r="BG43" s="191">
        <f>IF(AND(J11=BY4,BO43&gt;2700,BO43&lt;=3600),1,0)</f>
        <v>0</v>
      </c>
      <c r="BH43" s="143">
        <v>0</v>
      </c>
      <c r="BI43" s="143">
        <v>0</v>
      </c>
      <c r="BJ43" s="190">
        <f>IF(AND(J11=BY5,BL43&gt;2500,BL43&lt;=4950),BM43+1,BM43)</f>
        <v>0</v>
      </c>
      <c r="BK43" s="191">
        <f>IF(AND(J11=BY4,BO43&gt;3600,BO43&lt;=5350),BP43+1,BP43)</f>
        <v>0</v>
      </c>
      <c r="BL43" s="185">
        <f t="shared" ref="BL43:BR43" si="25">BL32</f>
        <v>0</v>
      </c>
      <c r="BM43" s="185">
        <f t="shared" si="25"/>
        <v>0</v>
      </c>
      <c r="BN43" s="185">
        <f t="shared" si="25"/>
        <v>0</v>
      </c>
      <c r="BO43" s="185">
        <f t="shared" si="25"/>
        <v>0</v>
      </c>
      <c r="BP43" s="185">
        <f t="shared" si="25"/>
        <v>0</v>
      </c>
      <c r="BQ43" s="185">
        <f t="shared" si="25"/>
        <v>0</v>
      </c>
      <c r="BR43" s="185">
        <f t="shared" si="25"/>
        <v>0</v>
      </c>
      <c r="BV43" s="1" t="s">
        <v>94</v>
      </c>
    </row>
    <row r="44" spans="2:74" ht="25.05" customHeight="1" x14ac:dyDescent="0.3">
      <c r="AZ44" s="192">
        <v>0</v>
      </c>
      <c r="BA44" s="192">
        <v>0</v>
      </c>
      <c r="BB44" s="192">
        <v>0</v>
      </c>
      <c r="BC44" s="192">
        <v>0</v>
      </c>
      <c r="BD44" s="192">
        <v>0</v>
      </c>
      <c r="BE44" s="141">
        <f>IF(AND(BO44&gt;0,BO44&lt;=2700),1,0)</f>
        <v>1</v>
      </c>
      <c r="BF44" s="192">
        <v>0</v>
      </c>
      <c r="BG44" s="192">
        <v>0</v>
      </c>
      <c r="BH44" s="192">
        <v>0</v>
      </c>
      <c r="BI44" s="192">
        <v>0</v>
      </c>
      <c r="BJ44" s="192">
        <v>0</v>
      </c>
      <c r="BK44" s="141">
        <f>IF(AND(BO44&gt;2700,BO44&lt;=5350),BP44+1,BP44)</f>
        <v>0</v>
      </c>
      <c r="BL44" s="185">
        <f t="shared" ref="BL44:BR44" si="26">BL33</f>
        <v>0</v>
      </c>
      <c r="BM44" s="185">
        <f t="shared" si="26"/>
        <v>0</v>
      </c>
      <c r="BN44" s="185">
        <f t="shared" si="26"/>
        <v>0</v>
      </c>
      <c r="BO44" s="185">
        <f t="shared" si="26"/>
        <v>1080</v>
      </c>
      <c r="BP44" s="185">
        <f t="shared" si="26"/>
        <v>0</v>
      </c>
      <c r="BQ44" s="185">
        <f t="shared" si="26"/>
        <v>0</v>
      </c>
      <c r="BR44" s="185">
        <f t="shared" si="26"/>
        <v>0</v>
      </c>
    </row>
    <row r="45" spans="2:74" ht="25.05" customHeight="1" x14ac:dyDescent="0.3"/>
    <row r="46" spans="2:74" x14ac:dyDescent="0.3">
      <c r="BV46" s="54" t="s">
        <v>98</v>
      </c>
    </row>
    <row r="47" spans="2:74" x14ac:dyDescent="0.3">
      <c r="BV47" s="54" t="s">
        <v>99</v>
      </c>
    </row>
    <row r="51" spans="59:74" s="54" customFormat="1" x14ac:dyDescent="0.3">
      <c r="BV51" s="54" t="s">
        <v>180</v>
      </c>
    </row>
    <row r="52" spans="59:74" s="54" customFormat="1" x14ac:dyDescent="0.3">
      <c r="BV52" s="54" t="s">
        <v>175</v>
      </c>
    </row>
    <row r="53" spans="59:74" s="54" customFormat="1" x14ac:dyDescent="0.3">
      <c r="BG53" s="38"/>
      <c r="BH53" s="38"/>
      <c r="BL53" s="38"/>
      <c r="BU53" s="38"/>
    </row>
    <row r="54" spans="59:74" s="54" customFormat="1" x14ac:dyDescent="0.3">
      <c r="BG54" s="38"/>
      <c r="BH54" s="38"/>
      <c r="BL54" s="38"/>
      <c r="BU54" s="38"/>
    </row>
    <row r="55" spans="59:74" s="54" customFormat="1" x14ac:dyDescent="0.3">
      <c r="BG55" s="38"/>
      <c r="BH55" s="38"/>
      <c r="BL55" s="38"/>
      <c r="BU55" s="38"/>
      <c r="BV55" s="1" t="s">
        <v>178</v>
      </c>
    </row>
    <row r="56" spans="59:74" s="54" customFormat="1" x14ac:dyDescent="0.3">
      <c r="BV56" s="54" t="s">
        <v>175</v>
      </c>
    </row>
    <row r="59" spans="59:74" s="54" customFormat="1" x14ac:dyDescent="0.3">
      <c r="BV59" s="54" t="s">
        <v>239</v>
      </c>
    </row>
    <row r="60" spans="59:74" s="54" customFormat="1" x14ac:dyDescent="0.3">
      <c r="BV60" s="54" t="s">
        <v>240</v>
      </c>
    </row>
    <row r="65" spans="74:74" s="54" customFormat="1" x14ac:dyDescent="0.3">
      <c r="BV65" s="38" t="str">
        <f>Подвесная!BV50</f>
        <v>Серебро матовое</v>
      </c>
    </row>
    <row r="66" spans="74:74" s="54" customFormat="1" x14ac:dyDescent="0.3">
      <c r="BV66" s="38" t="str">
        <f>Подвесная!BV51</f>
        <v>Черный матовый</v>
      </c>
    </row>
    <row r="67" spans="74:74" s="54" customFormat="1" x14ac:dyDescent="0.3">
      <c r="BV67" s="38" t="str">
        <f>Подвесная!BV52</f>
        <v>Слоновая кость</v>
      </c>
    </row>
    <row r="68" spans="74:74" s="54" customFormat="1" x14ac:dyDescent="0.3">
      <c r="BV68" s="38" t="str">
        <f>Подвесная!BV53</f>
        <v>Белый матовый</v>
      </c>
    </row>
    <row r="69" spans="74:74" s="54" customFormat="1" x14ac:dyDescent="0.3">
      <c r="BV69" s="38" t="str">
        <f>Подвесная!BV54</f>
        <v xml:space="preserve">Венге темный </v>
      </c>
    </row>
    <row r="70" spans="74:74" s="54" customFormat="1" x14ac:dyDescent="0.3">
      <c r="BV70" s="38" t="str">
        <f>Подвесная!BV55</f>
        <v>Дуб белый</v>
      </c>
    </row>
    <row r="71" spans="74:74" s="54" customFormat="1" x14ac:dyDescent="0.3">
      <c r="BV71" s="38" t="str">
        <f>Подвесная!BV56</f>
        <v xml:space="preserve"> медь античная*</v>
      </c>
    </row>
    <row r="72" spans="74:74" s="54" customFormat="1" x14ac:dyDescent="0.3">
      <c r="BV72" s="38" t="str">
        <f>Подвесная!BV57</f>
        <v>сталь воронёная</v>
      </c>
    </row>
    <row r="73" spans="74:74" x14ac:dyDescent="0.3">
      <c r="BV73" s="38" t="str">
        <f>Подвесная!BV58</f>
        <v>золото матовое</v>
      </c>
    </row>
    <row r="74" spans="74:74" x14ac:dyDescent="0.3">
      <c r="BV74" s="38" t="str">
        <f>Подвесная!BV59</f>
        <v>антрацит</v>
      </c>
    </row>
    <row r="75" spans="74:74" x14ac:dyDescent="0.3">
      <c r="BV75" s="38" t="str">
        <f>Подвесная!BV60</f>
        <v>кварц бронзовый*</v>
      </c>
    </row>
    <row r="76" spans="74:74" x14ac:dyDescent="0.3">
      <c r="BV76" s="38" t="str">
        <f>Подвесная!BV61</f>
        <v>жемчуг серый*</v>
      </c>
    </row>
    <row r="77" spans="74:74" x14ac:dyDescent="0.3">
      <c r="BV77" s="38" t="str">
        <f>Подвесная!BV62</f>
        <v>жемчуг розовый*</v>
      </c>
    </row>
    <row r="78" spans="74:74" x14ac:dyDescent="0.3">
      <c r="BV78" s="38"/>
    </row>
    <row r="79" spans="74:74" x14ac:dyDescent="0.3">
      <c r="BV79" s="38"/>
    </row>
  </sheetData>
  <sheetProtection algorithmName="SHA-512" hashValue="OU/SBKXbdJhcakMa+pq4YJlojHn68e6kyJZfzuKEGXDNq1xuhBkO+0i4i/qbnKK1tHUz4wtjY+MRTKGgaJywBQ==" saltValue="zJAOo/sqRom1Rxz0Dv881g==" spinCount="100000" sheet="1" selectLockedCells="1"/>
  <mergeCells count="58">
    <mergeCell ref="L38:O38"/>
    <mergeCell ref="W3:Y3"/>
    <mergeCell ref="AC15:AG15"/>
    <mergeCell ref="C32:D32"/>
    <mergeCell ref="C28:D28"/>
    <mergeCell ref="E27:G27"/>
    <mergeCell ref="J18:M18"/>
    <mergeCell ref="B4:D4"/>
    <mergeCell ref="E10:H10"/>
    <mergeCell ref="E11:H11"/>
    <mergeCell ref="E12:H12"/>
    <mergeCell ref="E13:H13"/>
    <mergeCell ref="B3:D3"/>
    <mergeCell ref="B5:D5"/>
    <mergeCell ref="J24:M24"/>
    <mergeCell ref="J22:M22"/>
    <mergeCell ref="U13:AG13"/>
    <mergeCell ref="J17:L17"/>
    <mergeCell ref="J3:K3"/>
    <mergeCell ref="J7:M7"/>
    <mergeCell ref="U7:AH7"/>
    <mergeCell ref="R4:R5"/>
    <mergeCell ref="J34:M34"/>
    <mergeCell ref="J25:M25"/>
    <mergeCell ref="J26:M26"/>
    <mergeCell ref="J27:M27"/>
    <mergeCell ref="J28:M28"/>
    <mergeCell ref="J29:M29"/>
    <mergeCell ref="J30:M30"/>
    <mergeCell ref="J31:M31"/>
    <mergeCell ref="J32:M32"/>
    <mergeCell ref="J33:M33"/>
    <mergeCell ref="E5:H5"/>
    <mergeCell ref="E6:H6"/>
    <mergeCell ref="E7:H7"/>
    <mergeCell ref="E8:H8"/>
    <mergeCell ref="J23:M23"/>
    <mergeCell ref="E9:H9"/>
    <mergeCell ref="E14:H14"/>
    <mergeCell ref="J19:M19"/>
    <mergeCell ref="J20:M20"/>
    <mergeCell ref="J21:M21"/>
    <mergeCell ref="J1:O1"/>
    <mergeCell ref="Q37:Q38"/>
    <mergeCell ref="Z3:AA3"/>
    <mergeCell ref="B11:D11"/>
    <mergeCell ref="B12:D12"/>
    <mergeCell ref="B13:D13"/>
    <mergeCell ref="B14:D14"/>
    <mergeCell ref="B1:H1"/>
    <mergeCell ref="B6:D6"/>
    <mergeCell ref="B7:D7"/>
    <mergeCell ref="B8:D8"/>
    <mergeCell ref="B9:D9"/>
    <mergeCell ref="B10:D10"/>
    <mergeCell ref="J35:M35"/>
    <mergeCell ref="E4:H4"/>
    <mergeCell ref="E3:H3"/>
  </mergeCells>
  <conditionalFormatting sqref="E12">
    <cfRule type="cellIs" dxfId="63" priority="76" operator="greaterThan">
      <formula>0</formula>
    </cfRule>
  </conditionalFormatting>
  <conditionalFormatting sqref="E13">
    <cfRule type="cellIs" dxfId="62" priority="69" operator="greaterThan">
      <formula>0</formula>
    </cfRule>
  </conditionalFormatting>
  <conditionalFormatting sqref="E14">
    <cfRule type="cellIs" dxfId="61" priority="60" operator="greaterThan">
      <formula>0</formula>
    </cfRule>
  </conditionalFormatting>
  <conditionalFormatting sqref="K4">
    <cfRule type="expression" dxfId="60" priority="63">
      <formula>$K$4&gt;3200</formula>
    </cfRule>
  </conditionalFormatting>
  <conditionalFormatting sqref="E6">
    <cfRule type="cellIs" dxfId="59" priority="45" operator="greaterThan">
      <formula>0</formula>
    </cfRule>
  </conditionalFormatting>
  <conditionalFormatting sqref="R29:T32 O30:Q32 O33:T35">
    <cfRule type="expression" dxfId="58" priority="582">
      <formula>#REF!=0</formula>
    </cfRule>
  </conditionalFormatting>
  <conditionalFormatting sqref="R38:T38 AW27 AI27 AH15">
    <cfRule type="expression" dxfId="57" priority="730">
      <formula>$E$4=0</formula>
    </cfRule>
  </conditionalFormatting>
  <conditionalFormatting sqref="R17:S17 AH12:AI13 H27 F22:H26 O19:Q35 O9:Q9 E22 K4:K5 R25:T36 R19:S24 L9:N12 S14 O12:Q12 P10:Q11 AW13 AW9:AW10 S9:T13 AG9:AI10 AJ10:AT10 AI11:AT12 AG11:AG12">
    <cfRule type="expression" dxfId="56" priority="733">
      <formula>$E$4=0</formula>
    </cfRule>
  </conditionalFormatting>
  <conditionalFormatting sqref="O11">
    <cfRule type="expression" dxfId="55" priority="38">
      <formula>$E$4=0</formula>
    </cfRule>
  </conditionalFormatting>
  <conditionalFormatting sqref="O10">
    <cfRule type="expression" dxfId="54" priority="37">
      <formula>$E$4=0</formula>
    </cfRule>
  </conditionalFormatting>
  <conditionalFormatting sqref="AJ27">
    <cfRule type="expression" dxfId="53" priority="25">
      <formula>$E$4=0</formula>
    </cfRule>
  </conditionalFormatting>
  <conditionalFormatting sqref="AJ9:AJ10 AJ12:AJ13">
    <cfRule type="expression" dxfId="52" priority="26">
      <formula>$E$4=0</formula>
    </cfRule>
  </conditionalFormatting>
  <conditionalFormatting sqref="AT27:AV27">
    <cfRule type="expression" dxfId="51" priority="21">
      <formula>$E$4=0</formula>
    </cfRule>
  </conditionalFormatting>
  <conditionalFormatting sqref="AT9:AV10 AT13:AV13 AU11:AU12 AT12:AU12">
    <cfRule type="expression" dxfId="50" priority="22">
      <formula>$E$4=0</formula>
    </cfRule>
  </conditionalFormatting>
  <conditionalFormatting sqref="AS27">
    <cfRule type="expression" dxfId="49" priority="17">
      <formula>$E$4=0</formula>
    </cfRule>
  </conditionalFormatting>
  <conditionalFormatting sqref="AS12:AS13 AS9:AS10">
    <cfRule type="expression" dxfId="48" priority="18">
      <formula>$E$4=0</formula>
    </cfRule>
  </conditionalFormatting>
  <conditionalFormatting sqref="AP27:AR27">
    <cfRule type="expression" dxfId="47" priority="13">
      <formula>$E$4=0</formula>
    </cfRule>
  </conditionalFormatting>
  <conditionalFormatting sqref="AP9:AR10 AP12:AR13">
    <cfRule type="expression" dxfId="46" priority="14">
      <formula>$E$4=0</formula>
    </cfRule>
  </conditionalFormatting>
  <conditionalFormatting sqref="AN27:AO27">
    <cfRule type="expression" dxfId="45" priority="9">
      <formula>$E$4=0</formula>
    </cfRule>
  </conditionalFormatting>
  <conditionalFormatting sqref="AN12:AO12 AN9:AO10 AO13">
    <cfRule type="expression" dxfId="44" priority="10">
      <formula>$E$4=0</formula>
    </cfRule>
  </conditionalFormatting>
  <conditionalFormatting sqref="AK27:AM27">
    <cfRule type="expression" dxfId="43" priority="7">
      <formula>$E$4=0</formula>
    </cfRule>
  </conditionalFormatting>
  <conditionalFormatting sqref="AK9:AM10 AK12:AM13">
    <cfRule type="expression" dxfId="42" priority="8">
      <formula>$E$4=0</formula>
    </cfRule>
  </conditionalFormatting>
  <conditionalFormatting sqref="C28">
    <cfRule type="expression" dxfId="41" priority="1091">
      <formula>$C$28=$BV$22</formula>
    </cfRule>
  </conditionalFormatting>
  <conditionalFormatting sqref="C28:D28">
    <cfRule type="expression" dxfId="40" priority="1092">
      <formula>$C$28=$BV$21</formula>
    </cfRule>
  </conditionalFormatting>
  <conditionalFormatting sqref="C32">
    <cfRule type="expression" dxfId="39" priority="1093">
      <formula>$C$32=$BV$42</formula>
    </cfRule>
  </conditionalFormatting>
  <conditionalFormatting sqref="H37">
    <cfRule type="expression" dxfId="38" priority="1094">
      <formula>AND($E$8=$BV$59,$H$37&gt;30)</formula>
    </cfRule>
    <cfRule type="expression" dxfId="37" priority="1095">
      <formula>AND($E$8=$BV$60,$H$37&gt;40)</formula>
    </cfRule>
  </conditionalFormatting>
  <conditionalFormatting sqref="K5">
    <cfRule type="expression" dxfId="36" priority="1096">
      <formula>AND(OR($K$5&lt;200,$K$5&gt;900),$E$4&gt;0,$E$8=$BV$60)</formula>
    </cfRule>
    <cfRule type="expression" dxfId="35" priority="1097">
      <formula>$E$9=0</formula>
    </cfRule>
    <cfRule type="expression" dxfId="34" priority="1098">
      <formula>AND(OR($K$5&lt;200,$K$5&gt;700),$E$4&gt;0,$E$8=$BV$59)</formula>
    </cfRule>
  </conditionalFormatting>
  <conditionalFormatting sqref="E11">
    <cfRule type="expression" dxfId="33" priority="1099">
      <formula>AND($E$8=$BV$60,OR($E$11=$BV$25,$E$11=$BV$26))</formula>
    </cfRule>
    <cfRule type="cellIs" dxfId="32" priority="1100" operator="greaterThan">
      <formula>0</formula>
    </cfRule>
  </conditionalFormatting>
  <conditionalFormatting sqref="S11:S14 R17:S24 R6:AI6 S4:AI5 R1:AI2 R16:AW16 S7:AI8 S9:T10 T11:T12 AJ1:AW10 AG9:AI12 T13:AM13 AO13:AW13 AO15:AW15 AN13:AN15 AJ11:AU12 R25:AW26 R28:AW38 R27:AB27 AI27:AW27 R15:AM15 R3:T3 V3:W3 Z3:AI3">
    <cfRule type="expression" dxfId="31" priority="1101">
      <formula>$N$3=$CE$9</formula>
    </cfRule>
  </conditionalFormatting>
  <conditionalFormatting sqref="T16:AW16 T1:AW2 T13:AM13 T9:T12 AG9:AW10 AO13:AW13 AO15:AW15 AN13:AN15 AG11:AU12 T25:AW26 T28:AW38 T27:AB27 AI27:AW27 T15:AM15 T4:AW8 T3 V3:W3 Z3:AW3">
    <cfRule type="expression" dxfId="30" priority="1114">
      <formula>$N$3=$CE$10</formula>
    </cfRule>
  </conditionalFormatting>
  <conditionalFormatting sqref="R38">
    <cfRule type="expression" dxfId="29" priority="1120">
      <formula>$N$3=$CE$11</formula>
    </cfRule>
  </conditionalFormatting>
  <conditionalFormatting sqref="U9:AF12">
    <cfRule type="cellIs" dxfId="28" priority="3" operator="equal">
      <formula>0</formula>
    </cfRule>
  </conditionalFormatting>
  <conditionalFormatting sqref="AW12">
    <cfRule type="expression" dxfId="27" priority="2">
      <formula>$E$4=0</formula>
    </cfRule>
  </conditionalFormatting>
  <conditionalFormatting sqref="AV12">
    <cfRule type="expression" dxfId="26" priority="1">
      <formula>$E$4=0</formula>
    </cfRule>
  </conditionalFormatting>
  <dataValidations count="12">
    <dataValidation type="list" allowBlank="1" showInputMessage="1" showErrorMessage="1" sqref="E9">
      <formula1>$BV$4:$BV$5</formula1>
    </dataValidation>
    <dataValidation type="list" allowBlank="1" showInputMessage="1" showErrorMessage="1" sqref="E10">
      <formula1>$BV$33:$BV$35</formula1>
    </dataValidation>
    <dataValidation type="list" allowBlank="1" showInputMessage="1" showErrorMessage="1" sqref="E5">
      <formula1>$BV$15:$BV$19</formula1>
    </dataValidation>
    <dataValidation type="whole" allowBlank="1" showInputMessage="1" showErrorMessage="1" sqref="E12">
      <formula1>0</formula1>
      <formula2>20</formula2>
    </dataValidation>
    <dataValidation type="list" allowBlank="1" showInputMessage="1" showErrorMessage="1" sqref="C22:C26">
      <formula1>$BV$8:$BV$10</formula1>
    </dataValidation>
    <dataValidation type="list" allowBlank="1" showInputMessage="1" showErrorMessage="1" sqref="E14">
      <formula1>$BV$46:$BV$47</formula1>
    </dataValidation>
    <dataValidation type="list" allowBlank="1" showInputMessage="1" showErrorMessage="1" sqref="E8">
      <formula1>$BV$59:$BV$60</formula1>
    </dataValidation>
    <dataValidation type="list" allowBlank="1" showInputMessage="1" showErrorMessage="1" sqref="E6">
      <formula1>$BY$4:$BY$5</formula1>
    </dataValidation>
    <dataValidation type="whole" allowBlank="1" showInputMessage="1" showErrorMessage="1" sqref="E13">
      <formula1>150</formula1>
      <formula2>K4</formula2>
    </dataValidation>
    <dataValidation type="list" allowBlank="1" showInputMessage="1" showErrorMessage="1" sqref="E11">
      <formula1>$BV$25:$BV$28</formula1>
    </dataValidation>
    <dataValidation type="list" allowBlank="1" showInputMessage="1" showErrorMessage="1" sqref="E7:H7">
      <formula1>$BV$65:$BV$77</formula1>
    </dataValidation>
    <dataValidation type="list" allowBlank="1" showInputMessage="1" showErrorMessage="1" sqref="Z3:AA3">
      <formula1>$CE$21:$CE$28</formula1>
    </dataValidation>
  </dataValidations>
  <printOptions horizontalCentered="1" verticalCentered="1"/>
  <pageMargins left="0.11811023622047245" right="0.11811023622047245" top="0.74803149606299213" bottom="0.74803149606299213" header="0.31496062992125984" footer="0.31496062992125984"/>
  <pageSetup paperSize="9" scale="40" orientation="landscape" verticalDpi="120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82" id="{3A7EAEEA-726E-4DA4-B12F-F689FFE67DAE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E28:G28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1"/>
    <pageSetUpPr fitToPage="1"/>
  </sheetPr>
  <dimension ref="B1:CH63"/>
  <sheetViews>
    <sheetView zoomScale="70" zoomScaleNormal="70" workbookViewId="0">
      <selection activeCell="E3" sqref="E3:H3"/>
    </sheetView>
  </sheetViews>
  <sheetFormatPr defaultColWidth="8.88671875" defaultRowHeight="14.4" x14ac:dyDescent="0.3"/>
  <cols>
    <col min="1" max="1" width="1.77734375" style="54" customWidth="1"/>
    <col min="2" max="3" width="45.77734375" style="54" customWidth="1"/>
    <col min="4" max="8" width="14.77734375" style="54" customWidth="1"/>
    <col min="9" max="9" width="1.77734375" style="54" customWidth="1"/>
    <col min="10" max="10" width="35.77734375" style="54" customWidth="1"/>
    <col min="11" max="15" width="14.77734375" style="54" customWidth="1"/>
    <col min="16" max="16" width="1.77734375" style="5" customWidth="1"/>
    <col min="17" max="17" width="14.77734375" style="5" hidden="1" customWidth="1"/>
    <col min="18" max="18" width="14.77734375" style="331" customWidth="1"/>
    <col min="19" max="19" width="1.77734375" style="5" customWidth="1"/>
    <col min="20" max="20" width="24.77734375" style="5" customWidth="1"/>
    <col min="21" max="32" width="11.77734375" style="54" customWidth="1"/>
    <col min="33" max="33" width="14.77734375" style="54" customWidth="1"/>
    <col min="34" max="34" width="14.77734375" style="331" customWidth="1"/>
    <col min="35" max="46" width="5.77734375" style="331" hidden="1" customWidth="1"/>
    <col min="47" max="49" width="14.77734375" style="331" hidden="1" customWidth="1"/>
    <col min="50" max="50" width="9.5546875" style="54" hidden="1" customWidth="1"/>
    <col min="51" max="51" width="16.21875" style="54" hidden="1" customWidth="1"/>
    <col min="52" max="53" width="12.21875" style="54" hidden="1" customWidth="1"/>
    <col min="54" max="54" width="14.77734375" style="54" hidden="1" customWidth="1"/>
    <col min="55" max="55" width="14" style="54" hidden="1" customWidth="1"/>
    <col min="56" max="56" width="11.77734375" style="54" hidden="1" customWidth="1"/>
    <col min="57" max="58" width="12.21875" style="54" hidden="1" customWidth="1"/>
    <col min="59" max="60" width="11.33203125" style="54" hidden="1" customWidth="1"/>
    <col min="61" max="61" width="11.109375" style="54" hidden="1" customWidth="1"/>
    <col min="62" max="62" width="11.6640625" style="54" hidden="1" customWidth="1"/>
    <col min="63" max="63" width="10.33203125" style="54" hidden="1" customWidth="1"/>
    <col min="64" max="69" width="9.5546875" style="54" hidden="1" customWidth="1"/>
    <col min="70" max="72" width="13.88671875" style="54" hidden="1" customWidth="1"/>
    <col min="73" max="73" width="9.5546875" style="54" hidden="1" customWidth="1"/>
    <col min="74" max="74" width="27.33203125" style="54" hidden="1" customWidth="1"/>
    <col min="75" max="76" width="8.88671875" style="54" hidden="1" customWidth="1"/>
    <col min="77" max="77" width="25.5546875" style="54" hidden="1" customWidth="1"/>
    <col min="78" max="78" width="14.33203125" style="54" hidden="1" customWidth="1"/>
    <col min="79" max="86" width="8.88671875" style="54" hidden="1" customWidth="1"/>
    <col min="87" max="89" width="8.88671875" style="54" customWidth="1"/>
    <col min="90" max="16384" width="8.88671875" style="54"/>
  </cols>
  <sheetData>
    <row r="1" spans="2:83" ht="25.05" customHeight="1" x14ac:dyDescent="0.3">
      <c r="B1" s="524" t="s">
        <v>104</v>
      </c>
      <c r="C1" s="524"/>
      <c r="D1" s="524"/>
      <c r="E1" s="524"/>
      <c r="F1" s="524"/>
      <c r="G1" s="524"/>
      <c r="H1" s="524"/>
      <c r="I1" s="149"/>
      <c r="J1" s="524" t="s">
        <v>105</v>
      </c>
      <c r="K1" s="524"/>
      <c r="L1" s="524"/>
      <c r="M1" s="524"/>
      <c r="N1" s="524"/>
      <c r="O1" s="524"/>
    </row>
    <row r="2" spans="2:83" ht="25.05" customHeight="1" thickBot="1" x14ac:dyDescent="0.35"/>
    <row r="3" spans="2:83" ht="25.05" customHeight="1" thickBot="1" x14ac:dyDescent="0.35">
      <c r="B3" s="527" t="s">
        <v>121</v>
      </c>
      <c r="C3" s="528"/>
      <c r="D3" s="528"/>
      <c r="E3" s="571">
        <v>2600</v>
      </c>
      <c r="F3" s="535"/>
      <c r="G3" s="535"/>
      <c r="H3" s="536"/>
      <c r="J3" s="550" t="s">
        <v>270</v>
      </c>
      <c r="K3" s="551"/>
      <c r="N3" s="437"/>
      <c r="O3" s="437"/>
      <c r="R3" s="3"/>
      <c r="S3" s="3"/>
      <c r="T3" s="3"/>
      <c r="V3" s="366"/>
      <c r="W3" s="607" t="s">
        <v>424</v>
      </c>
      <c r="X3" s="607"/>
      <c r="Y3" s="607"/>
      <c r="Z3" s="495" t="s">
        <v>425</v>
      </c>
      <c r="AA3" s="495"/>
      <c r="AB3" s="366"/>
      <c r="AC3" s="366"/>
      <c r="BE3" s="241" t="s">
        <v>425</v>
      </c>
    </row>
    <row r="4" spans="2:83" ht="25.05" customHeight="1" x14ac:dyDescent="0.3">
      <c r="B4" s="529" t="s">
        <v>120</v>
      </c>
      <c r="C4" s="530"/>
      <c r="D4" s="530"/>
      <c r="E4" s="570">
        <v>800</v>
      </c>
      <c r="F4" s="537"/>
      <c r="G4" s="537"/>
      <c r="H4" s="538"/>
      <c r="J4" s="107" t="s">
        <v>13</v>
      </c>
      <c r="K4" s="306">
        <f>IF(OR(E8=BV15,E8=BV16,E8=BV17),E3-45,E3-85)</f>
        <v>2555</v>
      </c>
      <c r="L4" s="5"/>
      <c r="M4" s="5"/>
      <c r="N4" s="5"/>
      <c r="O4" s="5"/>
      <c r="R4" s="475" t="s">
        <v>460</v>
      </c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  <c r="AU4" s="89"/>
      <c r="AV4" s="89"/>
      <c r="AW4" s="89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</row>
    <row r="5" spans="2:83" ht="25.05" customHeight="1" thickBot="1" x14ac:dyDescent="0.35">
      <c r="B5" s="529" t="s">
        <v>449</v>
      </c>
      <c r="C5" s="530"/>
      <c r="D5" s="530"/>
      <c r="E5" s="572">
        <v>0</v>
      </c>
      <c r="F5" s="514"/>
      <c r="G5" s="514"/>
      <c r="H5" s="515"/>
      <c r="J5" s="298" t="s">
        <v>14</v>
      </c>
      <c r="K5" s="307">
        <f>ROUNDDOWN(IF(AND(E8=BV17,OR(E10=BV24,E10=BV25)),(E4+39+39)/4,
IF(AND(E8=BV17,OR(E10=BV26,E10=BV27)),(E4-10+39+39)/4,
IF(AND(OR(E8=BV15,E8=BV16,E8=BV18),E10=BV24),E4/E9,
IF(AND(OR(E8=BV15,E8=BV16,E8=BV18),E10=BV25),(E4-2)/E9,
IF(AND(OR(E8=BV15,E8=BV16,E8=BV18),OR(E10=BV26,E10=BV27)),(E4-10)/E9))))),0)</f>
        <v>790</v>
      </c>
      <c r="L5" s="5"/>
      <c r="R5" s="476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89"/>
      <c r="AI5" s="89"/>
      <c r="AJ5" s="89"/>
      <c r="AK5" s="89"/>
      <c r="AL5" s="89"/>
      <c r="AM5" s="89"/>
      <c r="AN5" s="89"/>
      <c r="AO5" s="89"/>
      <c r="AP5" s="89"/>
      <c r="AQ5" s="89"/>
      <c r="AR5" s="89"/>
      <c r="AS5" s="89"/>
      <c r="AT5" s="89"/>
      <c r="AU5" s="89"/>
      <c r="AV5" s="89"/>
      <c r="AW5" s="89"/>
      <c r="AX5" s="5"/>
      <c r="AY5" s="5"/>
      <c r="AZ5" s="141" t="s">
        <v>263</v>
      </c>
      <c r="BA5" s="141"/>
      <c r="BB5" s="141"/>
      <c r="BC5" s="185">
        <v>4950</v>
      </c>
      <c r="BD5" s="185"/>
      <c r="BE5" s="185"/>
      <c r="BF5" s="185"/>
      <c r="BG5" s="185"/>
      <c r="BH5" s="185"/>
      <c r="BI5" s="185"/>
      <c r="BJ5" s="185"/>
      <c r="BK5" s="185"/>
      <c r="BL5" s="185"/>
      <c r="BM5" s="186"/>
      <c r="BN5" s="186"/>
      <c r="BO5" s="186"/>
      <c r="BP5" s="186"/>
      <c r="BQ5" s="186"/>
      <c r="BR5" s="186"/>
      <c r="BS5" s="6"/>
      <c r="BT5" s="6"/>
      <c r="BU5" s="5"/>
      <c r="BV5" s="5"/>
      <c r="BW5" s="5"/>
      <c r="BX5" s="5"/>
      <c r="BY5" s="5"/>
      <c r="BZ5" s="5"/>
      <c r="CA5" s="5"/>
      <c r="CB5" s="5"/>
    </row>
    <row r="6" spans="2:83" ht="25.05" customHeight="1" thickBot="1" x14ac:dyDescent="0.35">
      <c r="B6" s="529" t="s">
        <v>243</v>
      </c>
      <c r="C6" s="530"/>
      <c r="D6" s="530"/>
      <c r="E6" s="622" t="s">
        <v>459</v>
      </c>
      <c r="F6" s="623"/>
      <c r="G6" s="623"/>
      <c r="H6" s="624"/>
      <c r="J6" s="5"/>
      <c r="K6" s="5"/>
      <c r="L6" s="5"/>
      <c r="M6" s="5"/>
      <c r="N6" s="5"/>
      <c r="O6" s="5"/>
      <c r="R6" s="89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5"/>
      <c r="AY6" s="5"/>
      <c r="AZ6" s="141" t="s">
        <v>264</v>
      </c>
      <c r="BA6" s="141"/>
      <c r="BB6" s="141"/>
      <c r="BC6" s="141">
        <v>5025</v>
      </c>
      <c r="BD6" s="185"/>
      <c r="BE6" s="141"/>
      <c r="BF6" s="141"/>
      <c r="BG6" s="141"/>
      <c r="BH6" s="141"/>
      <c r="BI6" s="141"/>
      <c r="BJ6" s="141"/>
      <c r="BK6" s="141"/>
      <c r="BL6" s="141"/>
      <c r="BM6" s="186"/>
      <c r="BN6" s="186"/>
      <c r="BO6" s="186"/>
      <c r="BP6" s="186"/>
      <c r="BQ6" s="186"/>
      <c r="BR6" s="186"/>
      <c r="BS6" s="6"/>
      <c r="BT6" s="6"/>
      <c r="BU6" s="5"/>
      <c r="BV6" s="114"/>
      <c r="BW6" s="5"/>
      <c r="BX6" s="113"/>
      <c r="BY6" s="1" t="s">
        <v>458</v>
      </c>
      <c r="BZ6" s="1" t="s">
        <v>244</v>
      </c>
      <c r="CA6" s="113">
        <f>IF(E6=BY6,9,8)</f>
        <v>8</v>
      </c>
      <c r="CB6" s="5"/>
    </row>
    <row r="7" spans="2:83" ht="25.05" customHeight="1" x14ac:dyDescent="0.3">
      <c r="B7" s="529" t="s">
        <v>122</v>
      </c>
      <c r="C7" s="530"/>
      <c r="D7" s="530"/>
      <c r="E7" s="572" t="s">
        <v>234</v>
      </c>
      <c r="F7" s="514"/>
      <c r="G7" s="514"/>
      <c r="H7" s="515"/>
      <c r="J7" s="593" t="s">
        <v>182</v>
      </c>
      <c r="K7" s="594"/>
      <c r="L7" s="594"/>
      <c r="M7" s="594"/>
      <c r="N7" s="428"/>
      <c r="O7" s="304"/>
      <c r="P7" s="268"/>
      <c r="Q7" s="268"/>
      <c r="R7" s="258"/>
      <c r="S7" s="194"/>
      <c r="T7" s="358"/>
      <c r="U7" s="498" t="s">
        <v>100</v>
      </c>
      <c r="V7" s="498"/>
      <c r="W7" s="498"/>
      <c r="X7" s="498"/>
      <c r="Y7" s="498"/>
      <c r="Z7" s="498"/>
      <c r="AA7" s="498"/>
      <c r="AB7" s="498"/>
      <c r="AC7" s="498"/>
      <c r="AD7" s="498"/>
      <c r="AE7" s="498"/>
      <c r="AF7" s="498"/>
      <c r="AG7" s="498"/>
      <c r="AH7" s="499"/>
      <c r="AI7" s="451"/>
      <c r="AJ7" s="451"/>
      <c r="AK7" s="451"/>
      <c r="AL7" s="451"/>
      <c r="AM7" s="451"/>
      <c r="AN7" s="451"/>
      <c r="AO7" s="451"/>
      <c r="AP7" s="451"/>
      <c r="AQ7" s="451"/>
      <c r="AR7" s="451"/>
      <c r="AS7" s="451"/>
      <c r="AT7" s="451"/>
      <c r="AU7" s="451"/>
      <c r="AV7" s="451"/>
      <c r="AW7" s="451"/>
      <c r="AX7" s="3" t="s">
        <v>272</v>
      </c>
      <c r="AY7" s="3"/>
      <c r="AZ7" s="185" t="s">
        <v>265</v>
      </c>
      <c r="BA7" s="185"/>
      <c r="BB7" s="185"/>
      <c r="BC7" s="141">
        <v>5350</v>
      </c>
      <c r="BD7" s="185"/>
      <c r="BE7" s="141"/>
      <c r="BF7" s="141"/>
      <c r="BG7" s="141"/>
      <c r="BH7" s="141"/>
      <c r="BI7" s="141"/>
      <c r="BJ7" s="141"/>
      <c r="BK7" s="141"/>
      <c r="BL7" s="141"/>
      <c r="BM7" s="186"/>
      <c r="BN7" s="186"/>
      <c r="BO7" s="186"/>
      <c r="BP7" s="186"/>
      <c r="BQ7" s="186"/>
      <c r="BR7" s="186"/>
      <c r="BS7" s="6"/>
      <c r="BT7" s="6"/>
      <c r="BU7" s="5"/>
      <c r="BV7" s="106"/>
      <c r="BX7" s="5"/>
      <c r="BY7" s="1" t="s">
        <v>459</v>
      </c>
      <c r="BZ7" s="1" t="s">
        <v>260</v>
      </c>
      <c r="CA7" s="5"/>
    </row>
    <row r="8" spans="2:83" ht="25.05" customHeight="1" x14ac:dyDescent="0.3">
      <c r="B8" s="587" t="s">
        <v>123</v>
      </c>
      <c r="C8" s="588"/>
      <c r="D8" s="588"/>
      <c r="E8" s="616" t="s">
        <v>90</v>
      </c>
      <c r="F8" s="617"/>
      <c r="G8" s="617"/>
      <c r="H8" s="618"/>
      <c r="J8" s="411" t="s">
        <v>0</v>
      </c>
      <c r="K8" s="412" t="s">
        <v>1</v>
      </c>
      <c r="L8" s="412" t="s">
        <v>7</v>
      </c>
      <c r="M8" s="412" t="s">
        <v>9</v>
      </c>
      <c r="N8" s="205" t="s">
        <v>101</v>
      </c>
      <c r="O8" s="239" t="s">
        <v>23</v>
      </c>
      <c r="P8" s="303"/>
      <c r="Q8" s="303"/>
      <c r="R8" s="259" t="s">
        <v>24</v>
      </c>
      <c r="S8" s="140"/>
      <c r="T8" s="319"/>
      <c r="U8" s="96">
        <v>1000</v>
      </c>
      <c r="V8" s="96">
        <v>1250</v>
      </c>
      <c r="W8" s="96">
        <v>1800</v>
      </c>
      <c r="X8" s="96">
        <v>2000</v>
      </c>
      <c r="Y8" s="96">
        <v>2500</v>
      </c>
      <c r="Z8" s="96">
        <v>2700</v>
      </c>
      <c r="AA8" s="96">
        <v>3000</v>
      </c>
      <c r="AB8" s="96">
        <v>3600</v>
      </c>
      <c r="AC8" s="96">
        <v>3750</v>
      </c>
      <c r="AD8" s="96">
        <v>4000</v>
      </c>
      <c r="AE8" s="96">
        <v>5000</v>
      </c>
      <c r="AF8" s="96">
        <v>5400</v>
      </c>
      <c r="AG8" s="205" t="s">
        <v>101</v>
      </c>
      <c r="AH8" s="52" t="s">
        <v>24</v>
      </c>
      <c r="AI8" s="452"/>
      <c r="AJ8" s="452"/>
      <c r="AK8" s="452"/>
      <c r="AL8" s="452"/>
      <c r="AM8" s="452"/>
      <c r="AN8" s="452"/>
      <c r="AO8" s="452"/>
      <c r="AP8" s="452"/>
      <c r="AQ8" s="452"/>
      <c r="AR8" s="452"/>
      <c r="AS8" s="452"/>
      <c r="AT8" s="452"/>
      <c r="AU8" s="452"/>
      <c r="AV8" s="452"/>
      <c r="AW8" s="452"/>
      <c r="AX8" s="53"/>
      <c r="AY8" s="53"/>
      <c r="AZ8" s="96">
        <v>1000</v>
      </c>
      <c r="BA8" s="96">
        <v>1250</v>
      </c>
      <c r="BB8" s="96">
        <v>1800</v>
      </c>
      <c r="BC8" s="96">
        <v>2000</v>
      </c>
      <c r="BD8" s="96">
        <v>2500</v>
      </c>
      <c r="BE8" s="96">
        <v>2700</v>
      </c>
      <c r="BF8" s="96">
        <v>3000</v>
      </c>
      <c r="BG8" s="96">
        <v>3600</v>
      </c>
      <c r="BH8" s="96">
        <v>3750</v>
      </c>
      <c r="BI8" s="96">
        <v>4000</v>
      </c>
      <c r="BJ8" s="96">
        <v>5000</v>
      </c>
      <c r="BK8" s="142">
        <v>5400</v>
      </c>
      <c r="BL8" s="187"/>
      <c r="BM8" s="186"/>
      <c r="BN8" s="186"/>
      <c r="BO8" s="186"/>
      <c r="BP8" s="186"/>
      <c r="BQ8" s="186"/>
      <c r="BR8" s="186"/>
      <c r="BS8" s="6"/>
      <c r="BT8" s="6" t="s">
        <v>128</v>
      </c>
      <c r="BU8" s="5"/>
      <c r="BY8" s="115"/>
    </row>
    <row r="9" spans="2:83" ht="25.05" customHeight="1" x14ac:dyDescent="0.35">
      <c r="B9" s="531" t="s">
        <v>124</v>
      </c>
      <c r="C9" s="532"/>
      <c r="D9" s="532"/>
      <c r="E9" s="572">
        <v>1</v>
      </c>
      <c r="F9" s="514"/>
      <c r="G9" s="514"/>
      <c r="H9" s="515"/>
      <c r="J9" s="431" t="s">
        <v>2</v>
      </c>
      <c r="K9" s="238" t="s">
        <v>190</v>
      </c>
      <c r="L9" s="125">
        <f>K4</f>
        <v>2555</v>
      </c>
      <c r="M9" s="126">
        <f>IF(AND(E3&gt;0,E8=BV17),4,IF(AND(E3&gt;0,OR(E8=BV15,E8=BV16,E8=BV18)),E9*2,0))</f>
        <v>2</v>
      </c>
      <c r="N9" s="126"/>
      <c r="O9" s="339">
        <f>IF(L9&gt;2650,M9,M9/2)</f>
        <v>1</v>
      </c>
      <c r="P9" s="269"/>
      <c r="Q9" s="269"/>
      <c r="R9" s="260">
        <f>O9*BT9</f>
        <v>5410.98</v>
      </c>
      <c r="S9" s="255"/>
      <c r="T9" s="436" t="str">
        <f>J9</f>
        <v>вертикальный профиль</v>
      </c>
      <c r="U9" s="432">
        <f>IF($Z$3=$CE$21,AZ9,IF($Z$3=$CE$27,AZ37,IF($Z$3=$CE$28,AZ52,AZ22)))</f>
        <v>0</v>
      </c>
      <c r="V9" s="432">
        <f t="shared" ref="V9:AF9" si="0">IF($Z$3=$CE$21,BA9,IF($Z$3=$CE$27,BA37,IF($Z$3=$CE$28,BA52,BA22)))</f>
        <v>0</v>
      </c>
      <c r="W9" s="432">
        <f t="shared" si="0"/>
        <v>0</v>
      </c>
      <c r="X9" s="432">
        <f t="shared" si="0"/>
        <v>0</v>
      </c>
      <c r="Y9" s="432">
        <f t="shared" si="0"/>
        <v>0</v>
      </c>
      <c r="Z9" s="432">
        <f t="shared" si="0"/>
        <v>0</v>
      </c>
      <c r="AA9" s="432">
        <f t="shared" si="0"/>
        <v>0</v>
      </c>
      <c r="AB9" s="432">
        <f t="shared" si="0"/>
        <v>0</v>
      </c>
      <c r="AC9" s="432">
        <f t="shared" si="0"/>
        <v>0</v>
      </c>
      <c r="AD9" s="432">
        <f t="shared" si="0"/>
        <v>0</v>
      </c>
      <c r="AE9" s="432">
        <f t="shared" si="0"/>
        <v>0</v>
      </c>
      <c r="AF9" s="432">
        <f t="shared" si="0"/>
        <v>1</v>
      </c>
      <c r="AG9" s="123"/>
      <c r="AH9" s="433">
        <f>R9</f>
        <v>5410.98</v>
      </c>
      <c r="AI9" s="463"/>
      <c r="AJ9" s="463"/>
      <c r="AK9" s="463"/>
      <c r="AL9" s="463"/>
      <c r="AM9" s="463"/>
      <c r="AN9" s="463"/>
      <c r="AO9" s="463"/>
      <c r="AP9" s="463"/>
      <c r="AQ9" s="463"/>
      <c r="AR9" s="463"/>
      <c r="AS9" s="463"/>
      <c r="AT9" s="463"/>
      <c r="AU9" s="463"/>
      <c r="AV9" s="463"/>
      <c r="AW9" s="463"/>
      <c r="AX9" s="362">
        <v>0.69</v>
      </c>
      <c r="AY9" s="3">
        <f>AX9*L9*M9/1000</f>
        <v>3.5258999999999996</v>
      </c>
      <c r="AZ9" s="141"/>
      <c r="BA9" s="141"/>
      <c r="BB9" s="141"/>
      <c r="BC9" s="141"/>
      <c r="BD9" s="141"/>
      <c r="BE9" s="141"/>
      <c r="BF9" s="141"/>
      <c r="BG9" s="141"/>
      <c r="BH9" s="141"/>
      <c r="BI9" s="141"/>
      <c r="BJ9" s="141"/>
      <c r="BK9" s="315">
        <f>O9</f>
        <v>1</v>
      </c>
      <c r="BL9" s="141"/>
      <c r="BM9" s="188"/>
      <c r="BN9" s="188"/>
      <c r="BO9" s="188"/>
      <c r="BP9" s="188"/>
      <c r="BQ9" s="188"/>
      <c r="BR9" s="188"/>
      <c r="BS9" s="144"/>
      <c r="BT9" s="144">
        <f t="array" ref="BT9">INDEX(Цены!J:J,MATCH(J9&amp;$E$7,Цены!C:C&amp;Цены!G:G,0))</f>
        <v>5410.98</v>
      </c>
      <c r="BU9" s="5"/>
      <c r="CE9" s="1" t="s">
        <v>462</v>
      </c>
    </row>
    <row r="10" spans="2:83" ht="25.05" customHeight="1" thickBot="1" x14ac:dyDescent="0.35">
      <c r="B10" s="597" t="s">
        <v>158</v>
      </c>
      <c r="C10" s="598"/>
      <c r="D10" s="598"/>
      <c r="E10" s="619" t="s">
        <v>129</v>
      </c>
      <c r="F10" s="620"/>
      <c r="G10" s="620"/>
      <c r="H10" s="621"/>
      <c r="J10" s="431" t="s">
        <v>4</v>
      </c>
      <c r="K10" s="238" t="s">
        <v>191</v>
      </c>
      <c r="L10" s="125">
        <f>IF(OR(E8=BV15,E8=BV17),K5-120,0)</f>
        <v>670</v>
      </c>
      <c r="M10" s="126">
        <f>IF(AND(L10&gt;0,E8=BV15),E9,IF(AND(L10&gt;0,E8=BV17),2,0))</f>
        <v>1</v>
      </c>
      <c r="N10" s="631">
        <f>L10*M10+L11*M11</f>
        <v>670</v>
      </c>
      <c r="O10" s="629">
        <f>CEILING((L10*M10+L11*M11)/5000,1)</f>
        <v>1</v>
      </c>
      <c r="P10" s="269"/>
      <c r="Q10" s="269"/>
      <c r="R10" s="625">
        <f>O10*BT10</f>
        <v>5816.07</v>
      </c>
      <c r="S10" s="274"/>
      <c r="T10" s="615" t="str">
        <f>J10</f>
        <v>направляющая верхняя</v>
      </c>
      <c r="U10" s="613">
        <f>IF($Z$3=$CE$21,AZ10,IF($Z$3=$CE$27,AZ38,IF($Z$3=$CE$28,AZ53,AZ23)))</f>
        <v>0</v>
      </c>
      <c r="V10" s="613">
        <f t="shared" ref="V10:AF10" si="1">IF($Z$3=$CE$21,BA10,IF($Z$3=$CE$27,BA38,IF($Z$3=$CE$28,BA53,BA23)))</f>
        <v>0</v>
      </c>
      <c r="W10" s="613">
        <f t="shared" si="1"/>
        <v>0</v>
      </c>
      <c r="X10" s="613">
        <f t="shared" si="1"/>
        <v>0</v>
      </c>
      <c r="Y10" s="613">
        <f t="shared" si="1"/>
        <v>1</v>
      </c>
      <c r="Z10" s="613">
        <f t="shared" si="1"/>
        <v>0</v>
      </c>
      <c r="AA10" s="613">
        <f t="shared" si="1"/>
        <v>0</v>
      </c>
      <c r="AB10" s="613">
        <f t="shared" si="1"/>
        <v>0</v>
      </c>
      <c r="AC10" s="613">
        <f t="shared" si="1"/>
        <v>0</v>
      </c>
      <c r="AD10" s="613">
        <f t="shared" si="1"/>
        <v>0</v>
      </c>
      <c r="AE10" s="613">
        <f t="shared" si="1"/>
        <v>0</v>
      </c>
      <c r="AF10" s="613">
        <f t="shared" si="1"/>
        <v>0</v>
      </c>
      <c r="AG10" s="543">
        <f>AU10</f>
        <v>2500</v>
      </c>
      <c r="AH10" s="614">
        <f>Y10*BT10*0.5+AE10*BT10</f>
        <v>2908.0349999999999</v>
      </c>
      <c r="AI10" s="463">
        <f>U10*U8</f>
        <v>0</v>
      </c>
      <c r="AJ10" s="463">
        <f t="shared" ref="AJ10:AT10" si="2">V10*V8</f>
        <v>0</v>
      </c>
      <c r="AK10" s="463">
        <f t="shared" si="2"/>
        <v>0</v>
      </c>
      <c r="AL10" s="463">
        <f t="shared" si="2"/>
        <v>0</v>
      </c>
      <c r="AM10" s="463">
        <f t="shared" si="2"/>
        <v>2500</v>
      </c>
      <c r="AN10" s="463">
        <f t="shared" si="2"/>
        <v>0</v>
      </c>
      <c r="AO10" s="463">
        <f t="shared" si="2"/>
        <v>0</v>
      </c>
      <c r="AP10" s="463">
        <f t="shared" si="2"/>
        <v>0</v>
      </c>
      <c r="AQ10" s="463">
        <f t="shared" si="2"/>
        <v>0</v>
      </c>
      <c r="AR10" s="463">
        <f t="shared" si="2"/>
        <v>0</v>
      </c>
      <c r="AS10" s="463">
        <f t="shared" si="2"/>
        <v>0</v>
      </c>
      <c r="AT10" s="463">
        <f t="shared" si="2"/>
        <v>0</v>
      </c>
      <c r="AU10" s="463">
        <f>SUM(AI10:AT10)</f>
        <v>2500</v>
      </c>
      <c r="AV10" s="463"/>
      <c r="AW10" s="463"/>
      <c r="AX10" s="3"/>
      <c r="AY10" s="3"/>
      <c r="AZ10" s="197"/>
      <c r="BA10" s="197"/>
      <c r="BB10" s="197"/>
      <c r="BC10" s="197"/>
      <c r="BD10" s="198">
        <f>IF(AND(BL10&gt;0,BL10&lt;=2500),1,0)</f>
        <v>1</v>
      </c>
      <c r="BE10" s="197"/>
      <c r="BF10" s="197"/>
      <c r="BG10" s="197"/>
      <c r="BH10" s="197"/>
      <c r="BI10" s="197"/>
      <c r="BJ10" s="198">
        <f>IF(AND(BL10&gt;2500,BL10&lt;=4950),BM10+1,BM10)</f>
        <v>0</v>
      </c>
      <c r="BK10" s="197"/>
      <c r="BL10" s="199">
        <f>N10-BC5*BM10</f>
        <v>670</v>
      </c>
      <c r="BM10" s="198">
        <f>INT(N10/BC5)</f>
        <v>0</v>
      </c>
      <c r="BN10" s="141"/>
      <c r="BO10" s="141"/>
      <c r="BP10" s="141"/>
      <c r="BQ10" s="141"/>
      <c r="BR10" s="141"/>
      <c r="BS10" s="3"/>
      <c r="BT10" s="144">
        <f t="array" ref="BT10">IFERROR(INDEX(Цены!J:J,MATCH(J10&amp;$E$7,Цены!C:C&amp;Цены!G:G,0)),Цены!J33)</f>
        <v>5816.07</v>
      </c>
      <c r="BU10" s="5"/>
      <c r="BV10" s="65" t="s">
        <v>10</v>
      </c>
      <c r="CE10" s="1" t="s">
        <v>460</v>
      </c>
    </row>
    <row r="11" spans="2:83" ht="25.05" customHeight="1" x14ac:dyDescent="0.3">
      <c r="J11" s="431" t="s">
        <v>4</v>
      </c>
      <c r="K11" s="238" t="s">
        <v>191</v>
      </c>
      <c r="L11" s="125">
        <f>IF(E8=BV17,(E4-K5*2)-120,0)</f>
        <v>0</v>
      </c>
      <c r="M11" s="126">
        <f>IF(L11&gt;0,1,0)</f>
        <v>0</v>
      </c>
      <c r="N11" s="632"/>
      <c r="O11" s="630"/>
      <c r="P11" s="269"/>
      <c r="Q11" s="269"/>
      <c r="R11" s="626"/>
      <c r="S11" s="274"/>
      <c r="T11" s="615"/>
      <c r="U11" s="613"/>
      <c r="V11" s="613"/>
      <c r="W11" s="613"/>
      <c r="X11" s="613"/>
      <c r="Y11" s="613"/>
      <c r="Z11" s="613"/>
      <c r="AA11" s="613"/>
      <c r="AB11" s="613"/>
      <c r="AC11" s="613"/>
      <c r="AD11" s="613"/>
      <c r="AE11" s="613"/>
      <c r="AF11" s="613"/>
      <c r="AG11" s="543"/>
      <c r="AH11" s="614"/>
      <c r="AI11" s="463"/>
      <c r="AJ11" s="463"/>
      <c r="AK11" s="463"/>
      <c r="AL11" s="463"/>
      <c r="AM11" s="463"/>
      <c r="AN11" s="463"/>
      <c r="AO11" s="463"/>
      <c r="AP11" s="463"/>
      <c r="AQ11" s="463"/>
      <c r="AR11" s="463"/>
      <c r="AS11" s="463"/>
      <c r="AT11" s="463"/>
      <c r="AU11" s="463"/>
      <c r="AV11" s="463"/>
      <c r="AW11" s="46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5"/>
      <c r="BM11" s="3"/>
      <c r="BN11" s="196"/>
      <c r="BO11" s="141"/>
      <c r="BP11" s="188"/>
      <c r="BQ11" s="188"/>
      <c r="BR11" s="188"/>
      <c r="BS11" s="144"/>
      <c r="BT11" s="144"/>
      <c r="BU11" s="5"/>
      <c r="BV11" s="65" t="s">
        <v>11</v>
      </c>
      <c r="CE11" s="1" t="s">
        <v>461</v>
      </c>
    </row>
    <row r="12" spans="2:83" ht="25.05" customHeight="1" thickBot="1" x14ac:dyDescent="0.35">
      <c r="J12" s="431" t="s">
        <v>5</v>
      </c>
      <c r="K12" s="238" t="s">
        <v>192</v>
      </c>
      <c r="L12" s="125">
        <f>IF(OR(E8=BV15,E8=BV17),E4,0)</f>
        <v>800</v>
      </c>
      <c r="M12" s="126">
        <f>IF(E8=BV15,2,IF(E8=BV17,1,0))</f>
        <v>2</v>
      </c>
      <c r="N12" s="125">
        <f>L12*M12</f>
        <v>1600</v>
      </c>
      <c r="O12" s="339">
        <f>CEILING((L12*M12)/5000,1)</f>
        <v>1</v>
      </c>
      <c r="P12" s="269"/>
      <c r="Q12" s="269"/>
      <c r="R12" s="260">
        <f>O12*BT12</f>
        <v>1892.95</v>
      </c>
      <c r="S12" s="255"/>
      <c r="T12" s="436" t="str">
        <f>J12</f>
        <v>накладка декоративная</v>
      </c>
      <c r="U12" s="432">
        <f>IF($Z$3=$CE$21,AZ12,IF($Z$3=$CE$27,AZ40,IF($Z$3=$CE$28,AZ55,AZ25)))</f>
        <v>0</v>
      </c>
      <c r="V12" s="432">
        <f t="shared" ref="V12:AF12" si="3">IF($Z$3=$CE$21,BA12,IF($Z$3=$CE$27,BA40,IF($Z$3=$CE$28,BA55,BA25)))</f>
        <v>0</v>
      </c>
      <c r="W12" s="432">
        <f t="shared" si="3"/>
        <v>0</v>
      </c>
      <c r="X12" s="432">
        <f t="shared" si="3"/>
        <v>0</v>
      </c>
      <c r="Y12" s="432">
        <f t="shared" si="3"/>
        <v>1</v>
      </c>
      <c r="Z12" s="432">
        <f t="shared" si="3"/>
        <v>0</v>
      </c>
      <c r="AA12" s="432">
        <f t="shared" si="3"/>
        <v>0</v>
      </c>
      <c r="AB12" s="432">
        <f t="shared" si="3"/>
        <v>0</v>
      </c>
      <c r="AC12" s="432">
        <f t="shared" si="3"/>
        <v>0</v>
      </c>
      <c r="AD12" s="432">
        <f t="shared" si="3"/>
        <v>0</v>
      </c>
      <c r="AE12" s="432">
        <f t="shared" si="3"/>
        <v>0</v>
      </c>
      <c r="AF12" s="432">
        <f t="shared" si="3"/>
        <v>0</v>
      </c>
      <c r="AG12" s="417">
        <f>AU12</f>
        <v>2500</v>
      </c>
      <c r="AH12" s="421">
        <f>(Y12*0.5+AE12)*BT12</f>
        <v>946.47500000000002</v>
      </c>
      <c r="AI12" s="463">
        <f>U12*U8</f>
        <v>0</v>
      </c>
      <c r="AJ12" s="463">
        <f t="shared" ref="AJ12:AT12" si="4">V12*V8</f>
        <v>0</v>
      </c>
      <c r="AK12" s="463">
        <f t="shared" si="4"/>
        <v>0</v>
      </c>
      <c r="AL12" s="463">
        <f t="shared" si="4"/>
        <v>0</v>
      </c>
      <c r="AM12" s="463">
        <f t="shared" si="4"/>
        <v>2500</v>
      </c>
      <c r="AN12" s="463">
        <f t="shared" si="4"/>
        <v>0</v>
      </c>
      <c r="AO12" s="463">
        <f t="shared" si="4"/>
        <v>0</v>
      </c>
      <c r="AP12" s="463">
        <f t="shared" si="4"/>
        <v>0</v>
      </c>
      <c r="AQ12" s="463">
        <f t="shared" si="4"/>
        <v>0</v>
      </c>
      <c r="AR12" s="463">
        <f t="shared" si="4"/>
        <v>0</v>
      </c>
      <c r="AS12" s="463">
        <f t="shared" si="4"/>
        <v>0</v>
      </c>
      <c r="AT12" s="463">
        <f t="shared" si="4"/>
        <v>0</v>
      </c>
      <c r="AU12" s="463">
        <f t="shared" ref="AU12:AU15" si="5">SUM(AI12:AT12)</f>
        <v>2500</v>
      </c>
      <c r="AV12" s="453"/>
      <c r="AW12" s="453"/>
      <c r="AX12" s="3"/>
      <c r="AY12" s="3"/>
      <c r="AZ12" s="200"/>
      <c r="BA12" s="200"/>
      <c r="BB12" s="200"/>
      <c r="BC12" s="200"/>
      <c r="BD12" s="201">
        <f>IF(AND(BL12&gt;0,BL12&lt;=2500),1,0)</f>
        <v>1</v>
      </c>
      <c r="BE12" s="200"/>
      <c r="BF12" s="200"/>
      <c r="BG12" s="200"/>
      <c r="BH12" s="200"/>
      <c r="BI12" s="200"/>
      <c r="BJ12" s="201">
        <f>IF(AND(BL12&gt;2500,BL12&lt;=5025),BM12+1,BM12)</f>
        <v>0</v>
      </c>
      <c r="BK12" s="200"/>
      <c r="BL12" s="202">
        <f>N12-BC6*BM12</f>
        <v>1600</v>
      </c>
      <c r="BM12" s="201">
        <f>INT(N12/BC6)</f>
        <v>0</v>
      </c>
      <c r="BN12" s="141"/>
      <c r="BO12" s="141"/>
      <c r="BP12" s="188"/>
      <c r="BQ12" s="188"/>
      <c r="BR12" s="188"/>
      <c r="BS12" s="144"/>
      <c r="BT12" s="144">
        <f t="array" ref="BT12">INDEX(Цены!J:J,MATCH(J12&amp;$E$7,Цены!C:C&amp;Цены!G:G,0))</f>
        <v>1892.95</v>
      </c>
      <c r="BU12" s="5"/>
      <c r="BV12" s="65" t="s">
        <v>12</v>
      </c>
      <c r="BW12" s="5"/>
      <c r="BX12" s="5"/>
      <c r="BY12" s="5"/>
    </row>
    <row r="13" spans="2:83" ht="25.05" customHeight="1" thickBot="1" x14ac:dyDescent="0.35">
      <c r="B13" s="58"/>
      <c r="C13" s="59"/>
      <c r="D13" s="59"/>
      <c r="E13" s="59"/>
      <c r="F13" s="59"/>
      <c r="G13" s="59"/>
      <c r="H13" s="60"/>
      <c r="J13" s="431" t="s">
        <v>3</v>
      </c>
      <c r="K13" s="238" t="s">
        <v>259</v>
      </c>
      <c r="L13" s="125">
        <f>K5-78</f>
        <v>712</v>
      </c>
      <c r="M13" s="126">
        <f>IF(AND(E3&gt;0,E8=BV17),4,IF(AND(E3&gt;0,OR(E8=BV15,E8=BV16,E8=BV18)),E9*2,0))</f>
        <v>2</v>
      </c>
      <c r="N13" s="125">
        <f>L13*M13</f>
        <v>1424</v>
      </c>
      <c r="O13" s="422">
        <f>BM13+IF(BL13&gt;0,1,0)</f>
        <v>1</v>
      </c>
      <c r="P13" s="269"/>
      <c r="Q13" s="269"/>
      <c r="R13" s="260">
        <f>O13*BT13</f>
        <v>3267.15</v>
      </c>
      <c r="S13" s="255"/>
      <c r="T13" s="436" t="str">
        <f t="shared" ref="T13" si="6">J13</f>
        <v>рамка верхняя</v>
      </c>
      <c r="U13" s="432">
        <f t="shared" ref="U13:U15" si="7">IF($Z$3=$CE$21,AZ13,IF($Z$3=$CE$27,AZ41,IF($Z$3=$CE$28,AZ56,AZ26)))</f>
        <v>0</v>
      </c>
      <c r="V13" s="432">
        <f t="shared" ref="V13:V15" si="8">IF($Z$3=$CE$21,BA13,IF($Z$3=$CE$27,BA41,IF($Z$3=$CE$28,BA56,BA26)))</f>
        <v>0</v>
      </c>
      <c r="W13" s="432">
        <f t="shared" ref="W13:W15" si="9">IF($Z$3=$CE$21,BB13,IF($Z$3=$CE$27,BB41,IF($Z$3=$CE$28,BB56,BB26)))</f>
        <v>0</v>
      </c>
      <c r="X13" s="432">
        <f t="shared" ref="X13:X15" si="10">IF($Z$3=$CE$21,BC13,IF($Z$3=$CE$27,BC41,IF($Z$3=$CE$28,BC56,BC26)))</f>
        <v>1</v>
      </c>
      <c r="Y13" s="432">
        <f t="shared" ref="Y13:Y15" si="11">IF($Z$3=$CE$21,BD13,IF($Z$3=$CE$27,BD41,IF($Z$3=$CE$28,BD56,BD26)))</f>
        <v>0</v>
      </c>
      <c r="Z13" s="432">
        <f t="shared" ref="Z13:Z15" si="12">IF($Z$3=$CE$21,BE13,IF($Z$3=$CE$27,BE41,IF($Z$3=$CE$28,BE56,BE26)))</f>
        <v>0</v>
      </c>
      <c r="AA13" s="432">
        <f t="shared" ref="AA13:AA15" si="13">IF($Z$3=$CE$21,BF13,IF($Z$3=$CE$27,BF41,IF($Z$3=$CE$28,BF56,BF26)))</f>
        <v>0</v>
      </c>
      <c r="AB13" s="432">
        <f t="shared" ref="AB13:AB15" si="14">IF($Z$3=$CE$21,BG13,IF($Z$3=$CE$27,BG41,IF($Z$3=$CE$28,BG56,BG26)))</f>
        <v>0</v>
      </c>
      <c r="AC13" s="432">
        <f t="shared" ref="AC13:AC15" si="15">IF($Z$3=$CE$21,BH13,IF($Z$3=$CE$27,BH41,IF($Z$3=$CE$28,BH56,BH26)))</f>
        <v>0</v>
      </c>
      <c r="AD13" s="432">
        <f t="shared" ref="AD13:AD15" si="16">IF($Z$3=$CE$21,BI13,IF($Z$3=$CE$27,BI41,IF($Z$3=$CE$28,BI56,BI26)))</f>
        <v>0</v>
      </c>
      <c r="AE13" s="432">
        <f t="shared" ref="AE13:AE15" si="17">IF($Z$3=$CE$21,BJ13,IF($Z$3=$CE$27,BJ41,IF($Z$3=$CE$28,BJ56,BJ26)))</f>
        <v>0</v>
      </c>
      <c r="AF13" s="432">
        <f t="shared" ref="AF13:AF15" si="18">IF($Z$3=$CE$21,BK13,IF($Z$3=$CE$27,BK41,IF($Z$3=$CE$28,BK56,BK26)))</f>
        <v>0</v>
      </c>
      <c r="AG13" s="417">
        <f t="shared" ref="AG13:AG15" si="19">AU13</f>
        <v>2000</v>
      </c>
      <c r="AH13" s="421">
        <f>(U13*0.2+V13*0.25+X13*0.4+Y13*0.5+AA13*0.6+AC13*0.75+AD13*0.8+AE13)*BT13</f>
        <v>1306.8600000000001</v>
      </c>
      <c r="AI13" s="463">
        <f>U13*U8</f>
        <v>0</v>
      </c>
      <c r="AJ13" s="463">
        <f t="shared" ref="AJ13:AT13" si="20">V13*V8</f>
        <v>0</v>
      </c>
      <c r="AK13" s="463">
        <f t="shared" si="20"/>
        <v>0</v>
      </c>
      <c r="AL13" s="463">
        <f t="shared" si="20"/>
        <v>2000</v>
      </c>
      <c r="AM13" s="463">
        <f t="shared" si="20"/>
        <v>0</v>
      </c>
      <c r="AN13" s="463">
        <f t="shared" si="20"/>
        <v>0</v>
      </c>
      <c r="AO13" s="463">
        <f t="shared" si="20"/>
        <v>0</v>
      </c>
      <c r="AP13" s="463">
        <f t="shared" si="20"/>
        <v>0</v>
      </c>
      <c r="AQ13" s="463">
        <f t="shared" si="20"/>
        <v>0</v>
      </c>
      <c r="AR13" s="463">
        <f t="shared" si="20"/>
        <v>0</v>
      </c>
      <c r="AS13" s="463">
        <f t="shared" si="20"/>
        <v>0</v>
      </c>
      <c r="AT13" s="463">
        <f t="shared" si="20"/>
        <v>0</v>
      </c>
      <c r="AU13" s="463">
        <f t="shared" si="5"/>
        <v>2000</v>
      </c>
      <c r="AV13" s="453"/>
      <c r="AW13" s="453"/>
      <c r="AX13" s="363">
        <v>0.47399999999999998</v>
      </c>
      <c r="AY13" s="3">
        <f>AX13*L13*M13/1000</f>
        <v>0.67497600000000002</v>
      </c>
      <c r="AZ13" s="141">
        <f>IF(AND(BL13&gt;0,BL13&lt;=1000),1,0)</f>
        <v>0</v>
      </c>
      <c r="BA13" s="143"/>
      <c r="BB13" s="143"/>
      <c r="BC13" s="141">
        <f>IF(AND(BL13&gt;1000,BL13&lt;=2000),1,0)</f>
        <v>1</v>
      </c>
      <c r="BD13" s="143"/>
      <c r="BE13" s="143"/>
      <c r="BF13" s="141">
        <f>IF(AND(BL13&gt;2000,BL13&lt;=3000),1,0)</f>
        <v>0</v>
      </c>
      <c r="BG13" s="143"/>
      <c r="BH13" s="143"/>
      <c r="BI13" s="141">
        <f>IF(AND(BL13&gt;3000,BL13&lt;=4000),1,0)</f>
        <v>0</v>
      </c>
      <c r="BJ13" s="141">
        <f>IF(AND(BL13&gt;4000,BL13&lt;=4950),BM13+1,BM13)</f>
        <v>0</v>
      </c>
      <c r="BK13" s="143"/>
      <c r="BL13" s="185">
        <f>N13-INT($BC$5/L13)*L13*BM13</f>
        <v>1424</v>
      </c>
      <c r="BM13" s="141">
        <f>INT(M13/INT($BC$5/L13))</f>
        <v>0</v>
      </c>
      <c r="BN13" s="141"/>
      <c r="BO13" s="141"/>
      <c r="BP13" s="188"/>
      <c r="BQ13" s="188"/>
      <c r="BR13" s="189"/>
      <c r="BS13" s="152"/>
      <c r="BT13" s="144">
        <f t="array" ref="BT13">INDEX(Цены!J:J,MATCH(J13&amp;$E$7,Цены!C:C&amp;Цены!G:G,0))</f>
        <v>3267.15</v>
      </c>
      <c r="BU13" s="5"/>
      <c r="BV13" s="5"/>
      <c r="BW13" s="5"/>
      <c r="BX13" s="5"/>
      <c r="BY13" s="5"/>
    </row>
    <row r="14" spans="2:83" ht="25.05" customHeight="1" thickBot="1" x14ac:dyDescent="0.4">
      <c r="B14" s="61" t="s">
        <v>107</v>
      </c>
      <c r="C14" s="62">
        <f>E5+1</f>
        <v>1</v>
      </c>
      <c r="D14" s="97"/>
      <c r="E14" s="98"/>
      <c r="F14" s="98"/>
      <c r="G14" s="98"/>
      <c r="H14" s="64"/>
      <c r="I14" s="76"/>
      <c r="J14" s="133" t="str">
        <f>E6</f>
        <v>рамка средняя 4в1</v>
      </c>
      <c r="K14" s="238" t="str">
        <f>IF(J14=BY6,BZ6,BZ7)</f>
        <v>FA0716.VP500</v>
      </c>
      <c r="L14" s="125">
        <f>IF(AND(E6=BY7,E5&gt;0),K5-78,IF(AND(E6=BY6,E5&gt;0),K5-76,0))</f>
        <v>0</v>
      </c>
      <c r="M14" s="126">
        <f>IF(AND(E8=BV17,E5&gt;0),E5*2,E5*E9)</f>
        <v>0</v>
      </c>
      <c r="N14" s="125">
        <f>L14*M14</f>
        <v>0</v>
      </c>
      <c r="O14" s="422">
        <f>IF(J14=BY7,BM14+IF(BL14&gt;0,1,0),BP14+IF(BO14&gt;0,1,0))</f>
        <v>0</v>
      </c>
      <c r="P14" s="269"/>
      <c r="Q14" s="269"/>
      <c r="R14" s="260">
        <f>O14*BT14</f>
        <v>0</v>
      </c>
      <c r="S14" s="255"/>
      <c r="T14" s="436" t="str">
        <f>J14</f>
        <v>рамка средняя 4в1</v>
      </c>
      <c r="U14" s="432">
        <f t="shared" si="7"/>
        <v>0</v>
      </c>
      <c r="V14" s="432">
        <f t="shared" si="8"/>
        <v>0</v>
      </c>
      <c r="W14" s="432">
        <f t="shared" si="9"/>
        <v>0</v>
      </c>
      <c r="X14" s="432">
        <f t="shared" si="10"/>
        <v>0</v>
      </c>
      <c r="Y14" s="432">
        <f t="shared" si="11"/>
        <v>0</v>
      </c>
      <c r="Z14" s="432">
        <f t="shared" si="12"/>
        <v>0</v>
      </c>
      <c r="AA14" s="432">
        <f t="shared" si="13"/>
        <v>0</v>
      </c>
      <c r="AB14" s="432">
        <f t="shared" si="14"/>
        <v>0</v>
      </c>
      <c r="AC14" s="432">
        <f t="shared" si="15"/>
        <v>0</v>
      </c>
      <c r="AD14" s="432">
        <f t="shared" si="16"/>
        <v>0</v>
      </c>
      <c r="AE14" s="432">
        <f t="shared" si="17"/>
        <v>0</v>
      </c>
      <c r="AF14" s="432">
        <f t="shared" si="18"/>
        <v>0</v>
      </c>
      <c r="AG14" s="417">
        <f t="shared" si="19"/>
        <v>0</v>
      </c>
      <c r="AH14" s="229">
        <f>IF(E6=BY6,AW15,AV15)</f>
        <v>0</v>
      </c>
      <c r="AI14" s="463">
        <f>U14*U8</f>
        <v>0</v>
      </c>
      <c r="AJ14" s="463">
        <f t="shared" ref="AJ14:AT14" si="21">V14*V8</f>
        <v>0</v>
      </c>
      <c r="AK14" s="463">
        <f t="shared" si="21"/>
        <v>0</v>
      </c>
      <c r="AL14" s="463">
        <f t="shared" si="21"/>
        <v>0</v>
      </c>
      <c r="AM14" s="463">
        <f t="shared" si="21"/>
        <v>0</v>
      </c>
      <c r="AN14" s="463">
        <f t="shared" si="21"/>
        <v>0</v>
      </c>
      <c r="AO14" s="463">
        <f t="shared" si="21"/>
        <v>0</v>
      </c>
      <c r="AP14" s="463">
        <f t="shared" si="21"/>
        <v>0</v>
      </c>
      <c r="AQ14" s="463">
        <f t="shared" si="21"/>
        <v>0</v>
      </c>
      <c r="AR14" s="463">
        <f t="shared" si="21"/>
        <v>0</v>
      </c>
      <c r="AS14" s="463">
        <f t="shared" si="21"/>
        <v>0</v>
      </c>
      <c r="AT14" s="463">
        <f t="shared" si="21"/>
        <v>0</v>
      </c>
      <c r="AU14" s="463">
        <f t="shared" si="5"/>
        <v>0</v>
      </c>
      <c r="AV14" s="188" t="s">
        <v>266</v>
      </c>
      <c r="AW14" s="189" t="s">
        <v>267</v>
      </c>
      <c r="AX14" s="363">
        <v>0.58499999999999996</v>
      </c>
      <c r="AY14" s="3">
        <f>AX14*L14*M14/1000</f>
        <v>0</v>
      </c>
      <c r="AZ14" s="190">
        <f>IF(AND(J14=BY7,BL14&gt;0,BL14&lt;=1000),1,0)</f>
        <v>0</v>
      </c>
      <c r="BA14" s="143"/>
      <c r="BB14" s="191">
        <f>IF(AND(J14=BY6,BO14&gt;0,BO14&lt;=1800),1,0)</f>
        <v>0</v>
      </c>
      <c r="BC14" s="190">
        <f>IF(AND(J14=BY7,BL14&gt;1000,BL14&lt;=2000),1,0)</f>
        <v>0</v>
      </c>
      <c r="BD14" s="143"/>
      <c r="BE14" s="191">
        <f>IF(AND(J14=BY6,BO14&gt;1800,BO14&lt;=2700),1,0)</f>
        <v>0</v>
      </c>
      <c r="BF14" s="190">
        <f>IF(AND(J14=BY7,BL14&gt;2000,BL14&lt;=3000),1,0)</f>
        <v>0</v>
      </c>
      <c r="BG14" s="191">
        <f>IF(AND(J14=BY6,BO14&gt;2700,BO14&lt;=3600),1,0)</f>
        <v>0</v>
      </c>
      <c r="BH14" s="143"/>
      <c r="BI14" s="190">
        <f>IF(AND(J14=BY7,BL14&gt;3000,BL14&lt;=4000),1,0)</f>
        <v>0</v>
      </c>
      <c r="BJ14" s="190">
        <f>IF(AND(J14=BY7,BL14&gt;4000,BL14&lt;=4950),BM14+1,BM14)</f>
        <v>0</v>
      </c>
      <c r="BK14" s="191">
        <f>IF(AND(J14=BY6,BO14&gt;3600,BO14&lt;=5350),BP14+1,BP14)</f>
        <v>0</v>
      </c>
      <c r="BL14" s="185">
        <f>IF(E5&lt;&gt;0,N14-INT(BC5/L14)*L14*BM14,0)</f>
        <v>0</v>
      </c>
      <c r="BM14" s="141">
        <f>IF(AND(E6=BY7,E5&lt;&gt;0),INT(M14/INT(BC5/L14)),0)</f>
        <v>0</v>
      </c>
      <c r="BN14" s="141"/>
      <c r="BO14" s="141">
        <f>IF(E5&lt;&gt;0,N14-INT(BC7/L14)*L14*BP14,0)</f>
        <v>0</v>
      </c>
      <c r="BP14" s="188">
        <f>IF(AND(E6=BY6,E5&lt;&gt;0),INT(M14/INT(BC7/L14)),0)</f>
        <v>0</v>
      </c>
      <c r="BQ14" s="188"/>
      <c r="BR14" s="188"/>
      <c r="BS14" s="144"/>
      <c r="BT14" s="144">
        <f t="array" ref="BT14">INDEX(Цены!J:J,MATCH(J14&amp;$E$7,Цены!C:C&amp;Цены!G:G,0))</f>
        <v>3828.23</v>
      </c>
      <c r="BU14" s="5"/>
      <c r="BV14" s="5"/>
      <c r="BW14" s="5"/>
      <c r="BX14" s="5"/>
      <c r="BY14" s="5"/>
    </row>
    <row r="15" spans="2:83" ht="25.05" customHeight="1" thickBot="1" x14ac:dyDescent="0.4">
      <c r="B15" s="66"/>
      <c r="C15" s="67"/>
      <c r="D15" s="67"/>
      <c r="E15" s="67"/>
      <c r="F15" s="67"/>
      <c r="G15" s="67"/>
      <c r="H15" s="68"/>
      <c r="I15" s="76"/>
      <c r="J15" s="431" t="s">
        <v>6</v>
      </c>
      <c r="K15" s="238" t="s">
        <v>193</v>
      </c>
      <c r="L15" s="125">
        <f>IF(OR(E8=BV17,E8=BV15,E8=BV16),L13-50,0)</f>
        <v>662</v>
      </c>
      <c r="M15" s="126">
        <f>IF(OR(E8=BV15,E8=BV16),E9,IF(E8=BV17,2,0))</f>
        <v>1</v>
      </c>
      <c r="N15" s="125">
        <f t="shared" ref="N15" si="22">L15*M15</f>
        <v>662</v>
      </c>
      <c r="O15" s="339">
        <f>CEILING((L15*M15)/5400,1)</f>
        <v>1</v>
      </c>
      <c r="P15" s="269"/>
      <c r="Q15" s="269"/>
      <c r="R15" s="260">
        <f>O15*BT15</f>
        <v>1015.61</v>
      </c>
      <c r="S15" s="255"/>
      <c r="T15" s="436" t="str">
        <f>J15</f>
        <v>профиль "П"</v>
      </c>
      <c r="U15" s="432">
        <f t="shared" si="7"/>
        <v>0</v>
      </c>
      <c r="V15" s="432">
        <f t="shared" si="8"/>
        <v>0</v>
      </c>
      <c r="W15" s="432">
        <f t="shared" si="9"/>
        <v>0</v>
      </c>
      <c r="X15" s="432">
        <f t="shared" si="10"/>
        <v>0</v>
      </c>
      <c r="Y15" s="432">
        <f t="shared" si="11"/>
        <v>0</v>
      </c>
      <c r="Z15" s="432">
        <f t="shared" si="12"/>
        <v>1</v>
      </c>
      <c r="AA15" s="432">
        <f t="shared" si="13"/>
        <v>0</v>
      </c>
      <c r="AB15" s="432">
        <f t="shared" si="14"/>
        <v>0</v>
      </c>
      <c r="AC15" s="432">
        <f t="shared" si="15"/>
        <v>0</v>
      </c>
      <c r="AD15" s="432">
        <f t="shared" si="16"/>
        <v>0</v>
      </c>
      <c r="AE15" s="432">
        <f t="shared" si="17"/>
        <v>0</v>
      </c>
      <c r="AF15" s="432">
        <f t="shared" si="18"/>
        <v>0</v>
      </c>
      <c r="AG15" s="417">
        <f t="shared" si="19"/>
        <v>2700</v>
      </c>
      <c r="AH15" s="240">
        <f>Z15*BT15*0.5+AF15*BT15</f>
        <v>507.80500000000001</v>
      </c>
      <c r="AI15" s="463">
        <f>U15*U8</f>
        <v>0</v>
      </c>
      <c r="AJ15" s="463">
        <f t="shared" ref="AJ15:AT15" si="23">V15*V8</f>
        <v>0</v>
      </c>
      <c r="AK15" s="463">
        <f t="shared" si="23"/>
        <v>0</v>
      </c>
      <c r="AL15" s="463">
        <f t="shared" si="23"/>
        <v>0</v>
      </c>
      <c r="AM15" s="463">
        <f t="shared" si="23"/>
        <v>0</v>
      </c>
      <c r="AN15" s="463">
        <f t="shared" si="23"/>
        <v>2700</v>
      </c>
      <c r="AO15" s="463">
        <f t="shared" si="23"/>
        <v>0</v>
      </c>
      <c r="AP15" s="463">
        <f t="shared" si="23"/>
        <v>0</v>
      </c>
      <c r="AQ15" s="463">
        <f t="shared" si="23"/>
        <v>0</v>
      </c>
      <c r="AR15" s="463">
        <f t="shared" si="23"/>
        <v>0</v>
      </c>
      <c r="AS15" s="463">
        <f t="shared" si="23"/>
        <v>0</v>
      </c>
      <c r="AT15" s="463">
        <f t="shared" si="23"/>
        <v>0</v>
      </c>
      <c r="AU15" s="463">
        <f t="shared" si="5"/>
        <v>2700</v>
      </c>
      <c r="AV15" s="256">
        <f>(U14*0.2+V14*0.25+X14*0.4+Y14*0.5+AA14*0.6+AC14*0.75+AD14*0.8+AE14)*BT14</f>
        <v>0</v>
      </c>
      <c r="AW15" s="256">
        <f>(W14*0.34+Z14*0.5+AB14*0.67+AF14)*BT14</f>
        <v>0</v>
      </c>
      <c r="AX15" s="364">
        <v>0.33600000000000002</v>
      </c>
      <c r="AY15" s="3">
        <f>AX15*L14*M14/1000</f>
        <v>0</v>
      </c>
      <c r="AZ15" s="192"/>
      <c r="BA15" s="192"/>
      <c r="BB15" s="192"/>
      <c r="BC15" s="192"/>
      <c r="BD15" s="192"/>
      <c r="BE15" s="141">
        <f>IF(AND(BO15&gt;0,BO15&lt;=2700),1,0)</f>
        <v>1</v>
      </c>
      <c r="BF15" s="192"/>
      <c r="BG15" s="192"/>
      <c r="BH15" s="192"/>
      <c r="BI15" s="192"/>
      <c r="BJ15" s="192"/>
      <c r="BK15" s="141">
        <f>IF(AND(BO15&gt;2700,BO15&lt;=5350),BP15+1,BP15)</f>
        <v>0</v>
      </c>
      <c r="BL15" s="185"/>
      <c r="BM15" s="141"/>
      <c r="BN15" s="185"/>
      <c r="BO15" s="185">
        <f>N15-BC7*BM15</f>
        <v>662</v>
      </c>
      <c r="BP15" s="185">
        <f>INT(N15/BC7)</f>
        <v>0</v>
      </c>
      <c r="BQ15" s="185"/>
      <c r="BR15" s="185"/>
      <c r="BS15" s="5"/>
      <c r="BT15" s="144">
        <f>Цены!J85</f>
        <v>1015.61</v>
      </c>
      <c r="BU15" s="5"/>
      <c r="BV15" s="116" t="s">
        <v>90</v>
      </c>
      <c r="BW15" s="5"/>
      <c r="BX15" s="5"/>
      <c r="BY15" s="5"/>
    </row>
    <row r="16" spans="2:83" ht="25.05" customHeight="1" thickBot="1" x14ac:dyDescent="0.4">
      <c r="B16" s="66"/>
      <c r="C16" s="67"/>
      <c r="D16" s="67"/>
      <c r="E16" s="67"/>
      <c r="F16" s="67"/>
      <c r="G16" s="67"/>
      <c r="H16" s="68"/>
      <c r="I16" s="76"/>
      <c r="J16" s="264"/>
      <c r="K16" s="265"/>
      <c r="L16" s="265"/>
      <c r="M16" s="265"/>
      <c r="N16" s="265"/>
      <c r="O16" s="266"/>
      <c r="P16" s="271"/>
      <c r="Q16" s="271"/>
      <c r="R16" s="134">
        <f>SUM(R9:R15)</f>
        <v>17402.760000000002</v>
      </c>
      <c r="S16" s="274"/>
      <c r="T16" s="361"/>
      <c r="U16" s="505" t="s">
        <v>103</v>
      </c>
      <c r="V16" s="505"/>
      <c r="W16" s="505"/>
      <c r="X16" s="505"/>
      <c r="Y16" s="505"/>
      <c r="Z16" s="505"/>
      <c r="AA16" s="505"/>
      <c r="AB16" s="505"/>
      <c r="AC16" s="505"/>
      <c r="AD16" s="505"/>
      <c r="AE16" s="505"/>
      <c r="AF16" s="505"/>
      <c r="AG16" s="506"/>
      <c r="AH16" s="134">
        <f>SUM(AH9:AH15)</f>
        <v>11080.155000000001</v>
      </c>
      <c r="AI16" s="464"/>
      <c r="AJ16" s="464"/>
      <c r="AK16" s="464"/>
      <c r="AL16" s="464"/>
      <c r="AM16" s="464"/>
      <c r="AN16" s="464"/>
      <c r="AO16" s="464"/>
      <c r="AP16" s="464"/>
      <c r="AQ16" s="464"/>
      <c r="AR16" s="464"/>
      <c r="AS16" s="464"/>
      <c r="AT16" s="464"/>
      <c r="AU16" s="464"/>
      <c r="AV16" s="453"/>
      <c r="AW16" s="464"/>
      <c r="AX16" s="368"/>
      <c r="AY16" s="3"/>
      <c r="AZ16" s="5"/>
      <c r="BA16" s="5"/>
      <c r="BB16" s="5"/>
      <c r="BC16" s="5"/>
      <c r="BD16" s="5"/>
      <c r="BE16" s="241" t="s">
        <v>431</v>
      </c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116" t="s">
        <v>92</v>
      </c>
      <c r="BW16" s="5"/>
      <c r="BX16" s="5"/>
      <c r="BY16" s="5"/>
    </row>
    <row r="17" spans="2:84" ht="25.05" customHeight="1" thickBot="1" x14ac:dyDescent="0.35">
      <c r="B17" s="69" t="s">
        <v>108</v>
      </c>
      <c r="C17" s="328" t="s">
        <v>109</v>
      </c>
      <c r="D17" s="70" t="s">
        <v>78</v>
      </c>
      <c r="E17" s="328" t="s">
        <v>110</v>
      </c>
      <c r="F17" s="328" t="s">
        <v>111</v>
      </c>
      <c r="G17" s="328" t="s">
        <v>127</v>
      </c>
      <c r="H17" s="71" t="s">
        <v>128</v>
      </c>
      <c r="J17" s="109"/>
      <c r="K17" s="5"/>
      <c r="L17" s="5"/>
      <c r="M17" s="5"/>
      <c r="N17" s="5"/>
      <c r="O17" s="11"/>
      <c r="S17" s="278"/>
      <c r="AI17" s="453"/>
      <c r="AJ17" s="453"/>
      <c r="AK17" s="453"/>
      <c r="AL17" s="453"/>
      <c r="AM17" s="453"/>
      <c r="AN17" s="453"/>
      <c r="AO17" s="453"/>
      <c r="AP17" s="453"/>
      <c r="AQ17" s="453"/>
      <c r="AR17" s="453"/>
      <c r="AS17" s="453"/>
      <c r="AT17" s="453"/>
      <c r="AU17" s="453"/>
      <c r="AV17" s="453"/>
      <c r="AW17" s="453"/>
      <c r="AY17" s="54">
        <f>IF(E6=BY6,AY9+AY13+AY15,AY9+AY13+AY14)</f>
        <v>4.2008759999999992</v>
      </c>
      <c r="BU17" s="5"/>
      <c r="BV17" s="117" t="s">
        <v>93</v>
      </c>
      <c r="BW17" s="5"/>
      <c r="BX17" s="5"/>
      <c r="BY17" s="5"/>
      <c r="CF17" s="1" t="b">
        <v>1</v>
      </c>
    </row>
    <row r="18" spans="2:84" ht="25.05" customHeight="1" thickBot="1" x14ac:dyDescent="0.35">
      <c r="B18" s="72" t="s">
        <v>112</v>
      </c>
      <c r="C18" s="15" t="s">
        <v>12</v>
      </c>
      <c r="D18" s="95">
        <v>0</v>
      </c>
      <c r="E18" s="16">
        <f>K4-IF(E22=0,0,IF(C22=BV10,E22,IF(C22=BV11,E22+2,E22+3)))-IF(E21=0,0,IF(C21=BV10,E21,IF(C21=BV11,E21+2,E21+3)))-IF(E20=0,0,IF(C20=BV10,E20,IF(C20=BV11,E20+2,E20+3)))-IF(E19=0,0,IF(C19=BV10,E19,IF(C19=BV11,E19+2,E19+3)))-44-IF(C18=BV11,2,IF(C18=BV12,3,0))-E5*CA6</f>
        <v>2508</v>
      </c>
      <c r="F18" s="73">
        <f>IF(C18=$BV$12,$K$5-63,IF(C18=$BV$11,$K$5-62,$K$5-60))</f>
        <v>727</v>
      </c>
      <c r="G18" s="74">
        <f>IF(E8=BV17,2,$E$9)</f>
        <v>1</v>
      </c>
      <c r="H18" s="75">
        <f>E18*F18*D18*G18/1000000</f>
        <v>0</v>
      </c>
      <c r="J18" s="429"/>
      <c r="K18" s="416"/>
      <c r="L18" s="416"/>
      <c r="M18" s="416"/>
      <c r="N18" s="416"/>
      <c r="O18" s="49"/>
      <c r="P18" s="324"/>
      <c r="Q18" s="324"/>
      <c r="R18" s="280"/>
      <c r="S18" s="324"/>
      <c r="T18" s="324"/>
      <c r="U18" s="324"/>
      <c r="V18" s="324"/>
      <c r="W18" s="324"/>
      <c r="X18" s="324"/>
      <c r="Y18" s="324"/>
      <c r="Z18" s="324"/>
      <c r="AA18" s="324"/>
      <c r="AB18" s="324"/>
      <c r="AC18" s="608" t="s">
        <v>102</v>
      </c>
      <c r="AD18" s="608"/>
      <c r="AE18" s="608"/>
      <c r="AF18" s="608"/>
      <c r="AG18" s="608"/>
      <c r="AH18" s="263">
        <f>AH16+R32+H23</f>
        <v>15133.025000000001</v>
      </c>
      <c r="AI18" s="451"/>
      <c r="AJ18" s="451"/>
      <c r="AK18" s="451"/>
      <c r="AL18" s="451"/>
      <c r="AM18" s="451"/>
      <c r="AN18" s="451"/>
      <c r="AO18" s="451"/>
      <c r="AP18" s="451"/>
      <c r="AQ18" s="451"/>
      <c r="AR18" s="451"/>
      <c r="AS18" s="451"/>
      <c r="AT18" s="451"/>
      <c r="AU18" s="451"/>
      <c r="AV18" s="451"/>
      <c r="AW18" s="451"/>
      <c r="AX18" s="3"/>
      <c r="AY18" s="289">
        <f>IF(E8=BV17,AY17/2,AY17/E9)</f>
        <v>4.2008759999999992</v>
      </c>
      <c r="AZ18" s="141" t="s">
        <v>263</v>
      </c>
      <c r="BA18" s="141"/>
      <c r="BB18" s="141"/>
      <c r="BC18" s="185">
        <v>5000</v>
      </c>
      <c r="BD18" s="185"/>
      <c r="BE18" s="185"/>
      <c r="BF18" s="185"/>
      <c r="BG18" s="185"/>
      <c r="BH18" s="185"/>
      <c r="BI18" s="185"/>
      <c r="BJ18" s="185"/>
      <c r="BK18" s="185"/>
      <c r="BL18" s="185"/>
      <c r="BM18" s="186"/>
      <c r="BN18" s="186"/>
      <c r="BO18" s="186"/>
      <c r="BP18" s="186"/>
      <c r="BQ18" s="186"/>
      <c r="BR18" s="186"/>
      <c r="BS18" s="6"/>
      <c r="BT18" s="6"/>
      <c r="BU18" s="5"/>
      <c r="BV18" s="118" t="s">
        <v>91</v>
      </c>
      <c r="BW18" s="5"/>
      <c r="BX18" s="5"/>
      <c r="BY18" s="5"/>
      <c r="BZ18" s="301">
        <f>IF(E18&lt;&gt;0,1,0)</f>
        <v>1</v>
      </c>
      <c r="CF18" s="1"/>
    </row>
    <row r="19" spans="2:84" ht="25.05" customHeight="1" x14ac:dyDescent="0.3">
      <c r="B19" s="72" t="s">
        <v>113</v>
      </c>
      <c r="C19" s="15" t="s">
        <v>10</v>
      </c>
      <c r="D19" s="95">
        <v>0</v>
      </c>
      <c r="E19" s="17">
        <v>0</v>
      </c>
      <c r="F19" s="73">
        <f>IF(C19=$BV$12,$K$5-63,IF(C19=$BV$11,$K$5-62,$K$5-60))</f>
        <v>730</v>
      </c>
      <c r="G19" s="74">
        <f>IF(E19=0,0,IF($E$8=$BV$17,2,$E$9))</f>
        <v>0</v>
      </c>
      <c r="H19" s="75">
        <f t="shared" ref="H19:H22" si="24">E19*F19*D19*G19/1000000</f>
        <v>0</v>
      </c>
      <c r="J19" s="110"/>
      <c r="K19" s="9"/>
      <c r="L19" s="9"/>
      <c r="M19" s="5"/>
      <c r="N19" s="5"/>
      <c r="O19" s="120"/>
      <c r="P19" s="119"/>
      <c r="Q19" s="119"/>
      <c r="R19" s="119"/>
      <c r="S19" s="119"/>
      <c r="T19" s="119"/>
      <c r="U19" s="119"/>
      <c r="V19" s="119"/>
      <c r="W19" s="119"/>
      <c r="X19" s="119"/>
      <c r="Y19" s="119"/>
      <c r="Z19" s="119"/>
      <c r="AA19" s="119"/>
      <c r="AB19" s="119"/>
      <c r="AC19" s="119"/>
      <c r="AD19" s="119"/>
      <c r="AE19" s="119"/>
      <c r="AF19" s="119"/>
      <c r="AG19" s="119"/>
      <c r="AH19" s="119"/>
      <c r="AI19" s="469"/>
      <c r="AJ19" s="469"/>
      <c r="AK19" s="469"/>
      <c r="AL19" s="469"/>
      <c r="AM19" s="469"/>
      <c r="AN19" s="469"/>
      <c r="AO19" s="469"/>
      <c r="AP19" s="469"/>
      <c r="AQ19" s="469"/>
      <c r="AR19" s="469"/>
      <c r="AS19" s="469"/>
      <c r="AT19" s="469"/>
      <c r="AU19" s="469"/>
      <c r="AV19" s="469"/>
      <c r="AW19" s="469"/>
      <c r="AX19" s="6"/>
      <c r="AZ19" s="141" t="s">
        <v>264</v>
      </c>
      <c r="BA19" s="141"/>
      <c r="BB19" s="141"/>
      <c r="BC19" s="141">
        <v>5075</v>
      </c>
      <c r="BD19" s="185"/>
      <c r="BE19" s="141"/>
      <c r="BF19" s="141"/>
      <c r="BG19" s="141"/>
      <c r="BH19" s="141"/>
      <c r="BI19" s="141"/>
      <c r="BJ19" s="141"/>
      <c r="BK19" s="141"/>
      <c r="BL19" s="141"/>
      <c r="BM19" s="186"/>
      <c r="BN19" s="186"/>
      <c r="BO19" s="186"/>
      <c r="BP19" s="186"/>
      <c r="BQ19" s="186"/>
      <c r="BR19" s="186"/>
      <c r="BS19" s="6"/>
      <c r="BT19" s="6"/>
      <c r="BU19" s="5"/>
      <c r="BV19" s="5"/>
      <c r="BW19" s="5"/>
      <c r="BX19" s="5"/>
      <c r="BY19" s="5"/>
      <c r="BZ19" s="301">
        <f>IF(E19&lt;&gt;0,1,0)</f>
        <v>0</v>
      </c>
      <c r="CF19" s="1" t="b">
        <v>1</v>
      </c>
    </row>
    <row r="20" spans="2:84" ht="25.05" customHeight="1" x14ac:dyDescent="0.3">
      <c r="B20" s="72" t="s">
        <v>114</v>
      </c>
      <c r="C20" s="15" t="s">
        <v>10</v>
      </c>
      <c r="D20" s="95">
        <v>0</v>
      </c>
      <c r="E20" s="17">
        <v>0</v>
      </c>
      <c r="F20" s="73">
        <f>IF(C20=$BV$12,$K$5-63,IF(C20=$BV$11,$K$5-62,$K$5-60))</f>
        <v>730</v>
      </c>
      <c r="G20" s="74">
        <f>IF(E20=0,0,IF($E$8=$BV$17,2,$E$9))</f>
        <v>0</v>
      </c>
      <c r="H20" s="75">
        <f t="shared" si="24"/>
        <v>0</v>
      </c>
      <c r="J20" s="121"/>
      <c r="K20" s="19"/>
      <c r="L20" s="18"/>
      <c r="M20" s="5"/>
      <c r="N20" s="5"/>
      <c r="O20" s="111"/>
      <c r="P20" s="18"/>
      <c r="Q20" s="18"/>
      <c r="R20" s="281"/>
      <c r="S20" s="18"/>
      <c r="T20" s="194"/>
      <c r="U20" s="268"/>
      <c r="V20" s="268"/>
      <c r="W20" s="268"/>
      <c r="X20" s="268"/>
      <c r="Y20" s="268"/>
      <c r="Z20" s="268"/>
      <c r="AA20" s="268"/>
      <c r="AB20" s="268"/>
      <c r="AC20" s="268"/>
      <c r="AD20" s="268"/>
      <c r="AE20" s="268"/>
      <c r="AF20" s="268"/>
      <c r="AG20" s="268"/>
      <c r="AH20" s="268"/>
      <c r="AI20" s="451"/>
      <c r="AJ20" s="451"/>
      <c r="AK20" s="451"/>
      <c r="AL20" s="451"/>
      <c r="AM20" s="451"/>
      <c r="AN20" s="451"/>
      <c r="AO20" s="451"/>
      <c r="AP20" s="451"/>
      <c r="AQ20" s="451"/>
      <c r="AR20" s="451"/>
      <c r="AS20" s="451"/>
      <c r="AT20" s="451"/>
      <c r="AU20" s="451"/>
      <c r="AV20" s="451"/>
      <c r="AW20" s="451"/>
      <c r="AX20" s="5"/>
      <c r="AY20" s="5"/>
      <c r="AZ20" s="185" t="s">
        <v>265</v>
      </c>
      <c r="BA20" s="185"/>
      <c r="BB20" s="185"/>
      <c r="BC20" s="141">
        <v>5400</v>
      </c>
      <c r="BD20" s="185"/>
      <c r="BE20" s="141"/>
      <c r="BF20" s="141"/>
      <c r="BG20" s="141"/>
      <c r="BH20" s="141"/>
      <c r="BI20" s="141"/>
      <c r="BJ20" s="141"/>
      <c r="BK20" s="141"/>
      <c r="BL20" s="141"/>
      <c r="BM20" s="186"/>
      <c r="BN20" s="186"/>
      <c r="BO20" s="186"/>
      <c r="BP20" s="186"/>
      <c r="BQ20" s="186"/>
      <c r="BR20" s="186"/>
      <c r="BS20" s="6"/>
      <c r="BT20" s="6"/>
      <c r="BU20" s="5"/>
      <c r="BW20" s="5"/>
      <c r="BX20" s="5"/>
      <c r="BY20" s="5"/>
      <c r="BZ20" s="301">
        <f>IF(E20&lt;&gt;0,1,0)</f>
        <v>0</v>
      </c>
    </row>
    <row r="21" spans="2:84" ht="25.05" customHeight="1" thickBot="1" x14ac:dyDescent="0.35">
      <c r="B21" s="72" t="s">
        <v>115</v>
      </c>
      <c r="C21" s="15" t="s">
        <v>12</v>
      </c>
      <c r="D21" s="95">
        <v>0</v>
      </c>
      <c r="E21" s="17">
        <v>0</v>
      </c>
      <c r="F21" s="73">
        <f>IF(C21=$BV$12,$K$5-63,IF(C21=$BV$11,$K$5-62,$K$5-60))</f>
        <v>727</v>
      </c>
      <c r="G21" s="74">
        <f>IF(E21=0,0,IF($E$8=$BV$17,2,$E$9))</f>
        <v>0</v>
      </c>
      <c r="H21" s="75">
        <f t="shared" si="24"/>
        <v>0</v>
      </c>
      <c r="J21" s="586" t="s">
        <v>181</v>
      </c>
      <c r="K21" s="552"/>
      <c r="L21" s="552"/>
      <c r="M21" s="416"/>
      <c r="N21" s="5"/>
      <c r="O21" s="111"/>
      <c r="P21" s="18"/>
      <c r="Q21" s="18"/>
      <c r="R21" s="281"/>
      <c r="S21" s="18"/>
      <c r="T21" s="140"/>
      <c r="U21" s="444"/>
      <c r="V21" s="444"/>
      <c r="W21" s="444"/>
      <c r="X21" s="444"/>
      <c r="Y21" s="444"/>
      <c r="Z21" s="444"/>
      <c r="AA21" s="444"/>
      <c r="AB21" s="444"/>
      <c r="AC21" s="444"/>
      <c r="AD21" s="444"/>
      <c r="AE21" s="444"/>
      <c r="AF21" s="444"/>
      <c r="AG21" s="445"/>
      <c r="AH21" s="303"/>
      <c r="AI21" s="452"/>
      <c r="AJ21" s="452"/>
      <c r="AK21" s="452"/>
      <c r="AL21" s="452"/>
      <c r="AM21" s="452"/>
      <c r="AN21" s="452"/>
      <c r="AO21" s="452"/>
      <c r="AP21" s="452"/>
      <c r="AQ21" s="452"/>
      <c r="AR21" s="452"/>
      <c r="AS21" s="452"/>
      <c r="AT21" s="452"/>
      <c r="AU21" s="452"/>
      <c r="AV21" s="452"/>
      <c r="AW21" s="452"/>
      <c r="AX21" s="5"/>
      <c r="AY21" s="5"/>
      <c r="AZ21" s="96">
        <v>1000</v>
      </c>
      <c r="BA21" s="96">
        <v>1250</v>
      </c>
      <c r="BB21" s="96">
        <v>1800</v>
      </c>
      <c r="BC21" s="96">
        <v>2000</v>
      </c>
      <c r="BD21" s="96">
        <v>2500</v>
      </c>
      <c r="BE21" s="96">
        <v>2700</v>
      </c>
      <c r="BF21" s="96">
        <v>3000</v>
      </c>
      <c r="BG21" s="96">
        <v>3600</v>
      </c>
      <c r="BH21" s="96">
        <v>3750</v>
      </c>
      <c r="BI21" s="96">
        <v>4000</v>
      </c>
      <c r="BJ21" s="96">
        <v>5000</v>
      </c>
      <c r="BK21" s="142">
        <v>5400</v>
      </c>
      <c r="BL21" s="187"/>
      <c r="BM21" s="186"/>
      <c r="BN21" s="186"/>
      <c r="BO21" s="186"/>
      <c r="BP21" s="186"/>
      <c r="BQ21" s="186"/>
      <c r="BR21" s="186"/>
      <c r="BS21" s="6"/>
      <c r="BT21" s="6"/>
      <c r="BU21" s="5"/>
      <c r="BW21" s="5"/>
      <c r="BX21" s="5"/>
      <c r="BY21" s="5"/>
      <c r="BZ21" s="301">
        <f>IF(E21&lt;&gt;0,1,0)</f>
        <v>0</v>
      </c>
      <c r="CE21" s="1" t="s">
        <v>425</v>
      </c>
    </row>
    <row r="22" spans="2:84" ht="25.05" customHeight="1" thickBot="1" x14ac:dyDescent="0.35">
      <c r="B22" s="80" t="s">
        <v>116</v>
      </c>
      <c r="C22" s="15" t="s">
        <v>12</v>
      </c>
      <c r="D22" s="95">
        <v>0</v>
      </c>
      <c r="E22" s="17">
        <v>0</v>
      </c>
      <c r="F22" s="73">
        <f>IF(C22=$BV$12,$K$5-63,IF(C22=$BV$11,$K$5-62,$K$5-60))</f>
        <v>727</v>
      </c>
      <c r="G22" s="74">
        <f>IF(E22=0,0,IF($E$8=$BV$17,2,$E$9))</f>
        <v>0</v>
      </c>
      <c r="H22" s="75">
        <f t="shared" si="24"/>
        <v>0</v>
      </c>
      <c r="J22" s="548" t="s">
        <v>0</v>
      </c>
      <c r="K22" s="549"/>
      <c r="L22" s="549"/>
      <c r="M22" s="549"/>
      <c r="N22" s="412" t="s">
        <v>1</v>
      </c>
      <c r="O22" s="239" t="s">
        <v>8</v>
      </c>
      <c r="P22" s="140"/>
      <c r="Q22" s="140"/>
      <c r="R22" s="261" t="s">
        <v>24</v>
      </c>
      <c r="S22" s="140"/>
      <c r="T22" s="311"/>
      <c r="U22" s="274"/>
      <c r="V22" s="274"/>
      <c r="W22" s="274"/>
      <c r="X22" s="274"/>
      <c r="Y22" s="274"/>
      <c r="Z22" s="274"/>
      <c r="AA22" s="274"/>
      <c r="AB22" s="274"/>
      <c r="AC22" s="274"/>
      <c r="AD22" s="274"/>
      <c r="AE22" s="274"/>
      <c r="AF22" s="274"/>
      <c r="AG22" s="274"/>
      <c r="AH22" s="274"/>
      <c r="AI22" s="463"/>
      <c r="AJ22" s="463"/>
      <c r="AK22" s="463"/>
      <c r="AL22" s="463"/>
      <c r="AM22" s="463"/>
      <c r="AN22" s="463"/>
      <c r="AO22" s="463"/>
      <c r="AP22" s="463"/>
      <c r="AQ22" s="463"/>
      <c r="AR22" s="463"/>
      <c r="AS22" s="463"/>
      <c r="AT22" s="463"/>
      <c r="AU22" s="463"/>
      <c r="AV22" s="463"/>
      <c r="AW22" s="463"/>
      <c r="AX22" s="5"/>
      <c r="AY22" s="5"/>
      <c r="AZ22" s="141"/>
      <c r="BA22" s="141"/>
      <c r="BB22" s="141"/>
      <c r="BC22" s="141"/>
      <c r="BD22" s="141"/>
      <c r="BE22" s="141"/>
      <c r="BF22" s="141"/>
      <c r="BG22" s="141"/>
      <c r="BH22" s="141"/>
      <c r="BI22" s="141"/>
      <c r="BJ22" s="141"/>
      <c r="BK22" s="315">
        <f>BK9</f>
        <v>1</v>
      </c>
      <c r="BL22" s="141"/>
      <c r="BM22" s="188"/>
      <c r="BN22" s="188"/>
      <c r="BO22" s="188"/>
      <c r="BP22" s="188"/>
      <c r="BQ22" s="188"/>
      <c r="BR22" s="188"/>
      <c r="BS22" s="144"/>
      <c r="BT22" s="144"/>
      <c r="BU22" s="5"/>
      <c r="BW22" s="5"/>
      <c r="BX22" s="5"/>
      <c r="BY22" s="5"/>
      <c r="BZ22" s="301">
        <f>IF(E22&lt;&gt;0,1,0)</f>
        <v>0</v>
      </c>
      <c r="CE22" s="1" t="s">
        <v>430</v>
      </c>
    </row>
    <row r="23" spans="2:84" ht="25.05" customHeight="1" thickBot="1" x14ac:dyDescent="0.35">
      <c r="B23" s="66"/>
      <c r="C23" s="67"/>
      <c r="D23" s="67"/>
      <c r="E23" s="503" t="s">
        <v>79</v>
      </c>
      <c r="F23" s="503"/>
      <c r="G23" s="504"/>
      <c r="H23" s="323">
        <f>SUM(H18:H22)</f>
        <v>0</v>
      </c>
      <c r="J23" s="601" t="s">
        <v>54</v>
      </c>
      <c r="K23" s="602"/>
      <c r="L23" s="602"/>
      <c r="M23" s="602"/>
      <c r="N23" s="238" t="s">
        <v>194</v>
      </c>
      <c r="O23" s="231">
        <f>CEILING(IF(OR(E8=BV15,E8=BV16),0.5*E9,IF(E8=BV17,1,E9)),1)</f>
        <v>1</v>
      </c>
      <c r="P23" s="250"/>
      <c r="Q23" s="250"/>
      <c r="R23" s="287">
        <f>O23*Цены!J131</f>
        <v>3471.2</v>
      </c>
      <c r="S23" s="273"/>
      <c r="T23" s="447"/>
      <c r="U23" s="471"/>
      <c r="V23" s="471"/>
      <c r="W23" s="471"/>
      <c r="X23" s="471"/>
      <c r="Y23" s="471"/>
      <c r="Z23" s="471"/>
      <c r="AA23" s="471"/>
      <c r="AB23" s="471"/>
      <c r="AC23" s="471"/>
      <c r="AD23" s="471"/>
      <c r="AE23" s="471"/>
      <c r="AF23" s="471"/>
      <c r="AG23" s="472"/>
      <c r="AH23" s="447"/>
      <c r="AI23" s="463"/>
      <c r="AJ23" s="463"/>
      <c r="AK23" s="463"/>
      <c r="AL23" s="463"/>
      <c r="AM23" s="463"/>
      <c r="AN23" s="463"/>
      <c r="AO23" s="463"/>
      <c r="AP23" s="463"/>
      <c r="AQ23" s="463"/>
      <c r="AR23" s="463"/>
      <c r="AS23" s="463"/>
      <c r="AT23" s="463"/>
      <c r="AU23" s="463"/>
      <c r="AV23" s="463"/>
      <c r="AW23" s="463"/>
      <c r="AX23" s="5"/>
      <c r="AZ23" s="197"/>
      <c r="BA23" s="197"/>
      <c r="BB23" s="197"/>
      <c r="BC23" s="197"/>
      <c r="BD23" s="198">
        <f>IF(AND(BL23&gt;0,BL23&lt;=2500),1,0)</f>
        <v>1</v>
      </c>
      <c r="BE23" s="197"/>
      <c r="BF23" s="197"/>
      <c r="BG23" s="197"/>
      <c r="BH23" s="197"/>
      <c r="BI23" s="197"/>
      <c r="BJ23" s="198">
        <f>IF(AND(BL23&gt;2500,BL23&lt;=4950),BM23+1,BM23)</f>
        <v>0</v>
      </c>
      <c r="BK23" s="197"/>
      <c r="BL23" s="199">
        <f>BL10</f>
        <v>670</v>
      </c>
      <c r="BM23" s="199">
        <f>BM10</f>
        <v>0</v>
      </c>
      <c r="BN23" s="141"/>
      <c r="BO23" s="141"/>
      <c r="BP23" s="141"/>
      <c r="BQ23" s="141"/>
      <c r="BR23" s="141"/>
      <c r="BS23" s="3"/>
      <c r="BT23" s="3"/>
      <c r="BU23" s="5"/>
      <c r="BW23" s="5"/>
      <c r="BX23" s="5"/>
      <c r="BY23" s="5"/>
      <c r="CE23" s="1" t="s">
        <v>427</v>
      </c>
    </row>
    <row r="24" spans="2:84" ht="25.05" customHeight="1" x14ac:dyDescent="0.3">
      <c r="B24" s="66"/>
      <c r="C24" s="627" t="str">
        <f>IF((SUM(BZ18:BZ22)/C14)&lt;&gt;1,BV45,BV46)</f>
        <v>Верно внесены высоты вставок</v>
      </c>
      <c r="D24" s="628"/>
      <c r="E24" s="329">
        <f>IF(C24=BV46,1,0)</f>
        <v>1</v>
      </c>
      <c r="F24" s="329"/>
      <c r="G24" s="329"/>
      <c r="H24" s="68"/>
      <c r="J24" s="496" t="s">
        <v>228</v>
      </c>
      <c r="K24" s="497"/>
      <c r="L24" s="497"/>
      <c r="M24" s="497"/>
      <c r="N24" s="235" t="s">
        <v>195</v>
      </c>
      <c r="O24" s="231">
        <f>M13*2+M14*2</f>
        <v>4</v>
      </c>
      <c r="P24" s="250"/>
      <c r="Q24" s="250"/>
      <c r="R24" s="287">
        <f>O24*Цены!J184</f>
        <v>41.6</v>
      </c>
      <c r="S24" s="273"/>
      <c r="T24" s="447"/>
      <c r="U24" s="471"/>
      <c r="V24" s="471"/>
      <c r="W24" s="471"/>
      <c r="X24" s="471"/>
      <c r="Y24" s="471"/>
      <c r="Z24" s="471"/>
      <c r="AA24" s="471"/>
      <c r="AB24" s="471"/>
      <c r="AC24" s="471"/>
      <c r="AD24" s="471"/>
      <c r="AE24" s="471"/>
      <c r="AF24" s="471"/>
      <c r="AG24" s="472"/>
      <c r="AH24" s="447"/>
      <c r="AI24" s="463"/>
      <c r="AJ24" s="463"/>
      <c r="AK24" s="463"/>
      <c r="AL24" s="463"/>
      <c r="AM24" s="463"/>
      <c r="AN24" s="463"/>
      <c r="AO24" s="463"/>
      <c r="AP24" s="463"/>
      <c r="AQ24" s="463"/>
      <c r="AR24" s="463"/>
      <c r="AS24" s="463"/>
      <c r="AT24" s="463"/>
      <c r="AU24" s="463"/>
      <c r="AV24" s="463"/>
      <c r="AW24" s="463"/>
      <c r="AX24" s="5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199"/>
      <c r="BM24" s="199"/>
      <c r="BN24" s="196"/>
      <c r="BO24" s="141"/>
      <c r="BP24" s="188"/>
      <c r="BQ24" s="188"/>
      <c r="BR24" s="188"/>
      <c r="BS24" s="144"/>
      <c r="BT24" s="144"/>
      <c r="BU24" s="5"/>
      <c r="BV24" s="1" t="s">
        <v>80</v>
      </c>
      <c r="BW24" s="5"/>
      <c r="BX24" s="5"/>
      <c r="BY24" s="5"/>
      <c r="CE24" s="1" t="s">
        <v>428</v>
      </c>
    </row>
    <row r="25" spans="2:84" ht="25.05" customHeight="1" x14ac:dyDescent="0.3">
      <c r="B25" s="66"/>
      <c r="C25" s="67"/>
      <c r="D25" s="67"/>
      <c r="E25" s="67"/>
      <c r="F25" s="67"/>
      <c r="G25" s="67"/>
      <c r="H25" s="68"/>
      <c r="J25" s="601" t="s">
        <v>82</v>
      </c>
      <c r="K25" s="602"/>
      <c r="L25" s="602"/>
      <c r="M25" s="602"/>
      <c r="N25" s="236" t="s">
        <v>262</v>
      </c>
      <c r="O25" s="233">
        <f>ROUNDUP((IF(C18=BV11,(E18+F18)*2*G18,0)+IF(C19=BV11,(E19+F19)*2*G19,0)+IF(C20=BV11,(E20+F20)*2*G20,0)+IF(C21=BV11,(E21+F21)*2*G21,0)+IF(C22=BV11,(E22+F22)*2*G22,0))/1000,0)</f>
        <v>0</v>
      </c>
      <c r="P25" s="252"/>
      <c r="Q25" s="252"/>
      <c r="R25" s="287">
        <f>O25*Цены!J177</f>
        <v>0</v>
      </c>
      <c r="S25" s="273"/>
      <c r="T25" s="311"/>
      <c r="U25" s="249"/>
      <c r="V25" s="249"/>
      <c r="W25" s="249"/>
      <c r="X25" s="249"/>
      <c r="Y25" s="249"/>
      <c r="Z25" s="249"/>
      <c r="AA25" s="249"/>
      <c r="AB25" s="249"/>
      <c r="AC25" s="249"/>
      <c r="AD25" s="249"/>
      <c r="AE25" s="249"/>
      <c r="AF25" s="249"/>
      <c r="AG25" s="444"/>
      <c r="AH25" s="442"/>
      <c r="AI25" s="453"/>
      <c r="AJ25" s="453"/>
      <c r="AK25" s="453"/>
      <c r="AL25" s="453"/>
      <c r="AM25" s="453"/>
      <c r="AN25" s="453"/>
      <c r="AO25" s="453"/>
      <c r="AP25" s="453"/>
      <c r="AQ25" s="453"/>
      <c r="AR25" s="453"/>
      <c r="AS25" s="453"/>
      <c r="AT25" s="453"/>
      <c r="AU25" s="453"/>
      <c r="AV25" s="453"/>
      <c r="AW25" s="453"/>
      <c r="AX25" s="5"/>
      <c r="AZ25" s="200"/>
      <c r="BA25" s="200"/>
      <c r="BB25" s="200"/>
      <c r="BC25" s="200"/>
      <c r="BD25" s="201">
        <f>IF(AND(BL25&gt;0,BL25&lt;=2500),1,0)</f>
        <v>1</v>
      </c>
      <c r="BE25" s="200"/>
      <c r="BF25" s="200"/>
      <c r="BG25" s="200"/>
      <c r="BH25" s="200"/>
      <c r="BI25" s="200"/>
      <c r="BJ25" s="201">
        <f>IF(AND(BL25&gt;2500,BL25&lt;=5025),BM25+1,BM25)</f>
        <v>0</v>
      </c>
      <c r="BK25" s="200"/>
      <c r="BL25" s="199">
        <f t="shared" ref="BL25:BM25" si="25">BL12</f>
        <v>1600</v>
      </c>
      <c r="BM25" s="199">
        <f t="shared" si="25"/>
        <v>0</v>
      </c>
      <c r="BN25" s="141"/>
      <c r="BO25" s="141"/>
      <c r="BP25" s="188"/>
      <c r="BQ25" s="188"/>
      <c r="BR25" s="188"/>
      <c r="BS25" s="144"/>
      <c r="BT25" s="144"/>
      <c r="BU25" s="5"/>
      <c r="BV25" s="83" t="s">
        <v>159</v>
      </c>
      <c r="BW25" s="5"/>
      <c r="BX25" s="5"/>
      <c r="BY25" s="5"/>
      <c r="CE25" s="1" t="s">
        <v>429</v>
      </c>
    </row>
    <row r="26" spans="2:84" ht="25.05" customHeight="1" x14ac:dyDescent="0.3">
      <c r="B26" s="66"/>
      <c r="C26" s="84"/>
      <c r="D26" s="84"/>
      <c r="E26" s="85"/>
      <c r="F26" s="85"/>
      <c r="G26" s="85"/>
      <c r="H26" s="68"/>
      <c r="J26" s="486" t="s">
        <v>84</v>
      </c>
      <c r="K26" s="487"/>
      <c r="L26" s="487"/>
      <c r="M26" s="487"/>
      <c r="N26" s="236" t="s">
        <v>196</v>
      </c>
      <c r="O26" s="233">
        <f>ROUNDUP((IF(C18=BV12,(E18+F18)*2*G18,0)+IF(C19=BV12,(E19+F19)*2*G19,0)+IF(C20=BV12,(E20+F20)*2*G20,0)+IF(C21=BV12,(E21+F21)*2*G21,0)+IF(C22=BV12,(E22+F22)*2*G22,0))/1000,0)</f>
        <v>7</v>
      </c>
      <c r="P26" s="252"/>
      <c r="Q26" s="252"/>
      <c r="R26" s="286">
        <f>O26*Цены!J178</f>
        <v>310.31</v>
      </c>
      <c r="S26" s="274"/>
      <c r="T26" s="311"/>
      <c r="U26" s="249"/>
      <c r="V26" s="249"/>
      <c r="W26" s="249"/>
      <c r="X26" s="249"/>
      <c r="Y26" s="249"/>
      <c r="Z26" s="249"/>
      <c r="AA26" s="249"/>
      <c r="AB26" s="249"/>
      <c r="AC26" s="249"/>
      <c r="AD26" s="249"/>
      <c r="AE26" s="249"/>
      <c r="AF26" s="249"/>
      <c r="AG26" s="444"/>
      <c r="AH26" s="442"/>
      <c r="AI26" s="453"/>
      <c r="AJ26" s="453"/>
      <c r="AK26" s="453"/>
      <c r="AL26" s="453"/>
      <c r="AM26" s="453"/>
      <c r="AN26" s="453"/>
      <c r="AO26" s="453"/>
      <c r="AP26" s="453"/>
      <c r="AQ26" s="453"/>
      <c r="AR26" s="453"/>
      <c r="AS26" s="453"/>
      <c r="AT26" s="453"/>
      <c r="AU26" s="453"/>
      <c r="AV26" s="453"/>
      <c r="AW26" s="453"/>
      <c r="AX26" s="5"/>
      <c r="AZ26" s="143"/>
      <c r="BA26" s="141">
        <f>IF(AND(BL26&gt;0,BL26&lt;=1250),1,0)</f>
        <v>0</v>
      </c>
      <c r="BB26" s="143"/>
      <c r="BC26" s="143"/>
      <c r="BD26" s="141">
        <f>IF(AND(BL26&gt;1250,BL26&lt;=2500),1,0)</f>
        <v>1</v>
      </c>
      <c r="BE26" s="143"/>
      <c r="BF26" s="143"/>
      <c r="BG26" s="143"/>
      <c r="BH26" s="141">
        <f>IF(AND(BL26&gt;2500,BL26&lt;=3750),1,0)</f>
        <v>0</v>
      </c>
      <c r="BI26" s="143"/>
      <c r="BJ26" s="141">
        <f>IF(AND(BL26&gt;4000,BL26&lt;=4950),BM26+1,BM26)</f>
        <v>0</v>
      </c>
      <c r="BK26" s="143"/>
      <c r="BL26" s="199">
        <f t="shared" ref="BL26:BM26" si="26">BL13</f>
        <v>1424</v>
      </c>
      <c r="BM26" s="199">
        <f t="shared" si="26"/>
        <v>0</v>
      </c>
      <c r="BN26" s="141"/>
      <c r="BO26" s="141"/>
      <c r="BP26" s="188"/>
      <c r="BQ26" s="188"/>
      <c r="BR26" s="189"/>
      <c r="BS26" s="152"/>
      <c r="BT26" s="152"/>
      <c r="BU26" s="5"/>
      <c r="BV26" s="83" t="s">
        <v>129</v>
      </c>
      <c r="BW26" s="5"/>
      <c r="BX26" s="5"/>
      <c r="BY26" s="5"/>
      <c r="CE26" s="1" t="s">
        <v>426</v>
      </c>
    </row>
    <row r="27" spans="2:84" ht="25.05" customHeight="1" x14ac:dyDescent="0.3">
      <c r="B27" s="66"/>
      <c r="C27" s="67"/>
      <c r="D27" s="67"/>
      <c r="E27" s="67"/>
      <c r="F27" s="67"/>
      <c r="G27" s="5"/>
      <c r="H27" s="11"/>
      <c r="J27" s="601" t="s">
        <v>80</v>
      </c>
      <c r="K27" s="602"/>
      <c r="L27" s="602"/>
      <c r="M27" s="602"/>
      <c r="N27" s="236" t="s">
        <v>197</v>
      </c>
      <c r="O27" s="231">
        <f>IF(E10=BV24,O24,0)</f>
        <v>0</v>
      </c>
      <c r="P27" s="250"/>
      <c r="Q27" s="250"/>
      <c r="R27" s="287">
        <f>O27*Цены!J171</f>
        <v>0</v>
      </c>
      <c r="S27" s="273"/>
      <c r="T27" s="311"/>
      <c r="U27" s="249"/>
      <c r="V27" s="249"/>
      <c r="W27" s="249"/>
      <c r="X27" s="249"/>
      <c r="Y27" s="249"/>
      <c r="Z27" s="249"/>
      <c r="AA27" s="249"/>
      <c r="AB27" s="249"/>
      <c r="AC27" s="249"/>
      <c r="AD27" s="249"/>
      <c r="AE27" s="249"/>
      <c r="AF27" s="249"/>
      <c r="AG27" s="444"/>
      <c r="AH27" s="255"/>
      <c r="AI27" s="453"/>
      <c r="AJ27" s="453"/>
      <c r="AK27" s="453"/>
      <c r="AL27" s="453"/>
      <c r="AM27" s="453"/>
      <c r="AN27" s="453"/>
      <c r="AO27" s="453"/>
      <c r="AP27" s="453"/>
      <c r="AQ27" s="453"/>
      <c r="AR27" s="453"/>
      <c r="AS27" s="453"/>
      <c r="AT27" s="453"/>
      <c r="AU27" s="453"/>
      <c r="AV27" s="453"/>
      <c r="AW27" s="453"/>
      <c r="AX27" s="5"/>
      <c r="AZ27" s="143"/>
      <c r="BA27" s="190">
        <f>IF(AND(J14=BY7,BL27&gt;0,BL27&lt;=1250),1,0)</f>
        <v>0</v>
      </c>
      <c r="BB27" s="191">
        <f>IF(AND(J14=BY6,BO27&gt;0,BO27&lt;=1800),1,0)</f>
        <v>0</v>
      </c>
      <c r="BC27" s="143"/>
      <c r="BD27" s="190">
        <f>IF(AND(J14=BY7,BL27&gt;1250,BL27&lt;=2500),1,0)</f>
        <v>0</v>
      </c>
      <c r="BE27" s="191">
        <f>IF(AND(J14=BY6,BO27&gt;1800,BO27&lt;=2700),1,0)</f>
        <v>0</v>
      </c>
      <c r="BF27" s="143"/>
      <c r="BG27" s="191">
        <f>IF(AND(J14=BY6,BO27&gt;2700,BO27&lt;=3600),1,0)</f>
        <v>0</v>
      </c>
      <c r="BH27" s="190">
        <f>IF(AND(J14=BY7,BL27&gt;2500,BL27&lt;=3750),1,0)</f>
        <v>0</v>
      </c>
      <c r="BI27" s="143"/>
      <c r="BJ27" s="190">
        <f>IF(AND(J14=BY7,BL27&gt;4000,BL27&lt;=4950),BM27+1,BM27)</f>
        <v>0</v>
      </c>
      <c r="BK27" s="191">
        <f>IF(AND(J14=BY6,BO27&gt;3600,BO27&lt;=5350),BP27+1,BP27)</f>
        <v>0</v>
      </c>
      <c r="BL27" s="199">
        <f>BL14</f>
        <v>0</v>
      </c>
      <c r="BM27" s="199">
        <f>BM14</f>
        <v>0</v>
      </c>
      <c r="BN27" s="199"/>
      <c r="BO27" s="199">
        <f>BO14</f>
        <v>0</v>
      </c>
      <c r="BP27" s="199">
        <f>BP14</f>
        <v>0</v>
      </c>
      <c r="BQ27" s="188"/>
      <c r="BR27" s="188"/>
      <c r="BS27" s="144"/>
      <c r="BT27" s="144"/>
      <c r="BU27" s="5"/>
      <c r="BV27" s="1" t="s">
        <v>76</v>
      </c>
      <c r="BW27" s="5"/>
      <c r="BX27" s="5"/>
      <c r="BY27" s="5"/>
      <c r="CE27" s="1" t="s">
        <v>527</v>
      </c>
    </row>
    <row r="28" spans="2:84" ht="25.05" customHeight="1" x14ac:dyDescent="0.3">
      <c r="B28" s="66"/>
      <c r="C28" s="584" t="str">
        <f>IF(AND(SUM(BZ18:BZ22)/C14=1,E22=0,C14&lt;&gt;1),BV49,BV50)</f>
        <v xml:space="preserve"> </v>
      </c>
      <c r="D28" s="584"/>
      <c r="E28" s="85"/>
      <c r="F28" s="85"/>
      <c r="G28" s="85"/>
      <c r="H28" s="11"/>
      <c r="J28" s="496" t="s">
        <v>166</v>
      </c>
      <c r="K28" s="497"/>
      <c r="L28" s="497"/>
      <c r="M28" s="497"/>
      <c r="N28" s="237" t="s">
        <v>198</v>
      </c>
      <c r="O28" s="339">
        <f>IF(E10=BV25,O24,0)</f>
        <v>0</v>
      </c>
      <c r="P28" s="249"/>
      <c r="Q28" s="249"/>
      <c r="R28" s="262">
        <f>O28*Цены!J132</f>
        <v>0</v>
      </c>
      <c r="S28" s="243"/>
      <c r="T28" s="311"/>
      <c r="U28" s="249"/>
      <c r="V28" s="249"/>
      <c r="W28" s="249"/>
      <c r="X28" s="249"/>
      <c r="Y28" s="249"/>
      <c r="Z28" s="249"/>
      <c r="AA28" s="249"/>
      <c r="AB28" s="249"/>
      <c r="AC28" s="249"/>
      <c r="AD28" s="249"/>
      <c r="AE28" s="249"/>
      <c r="AF28" s="249"/>
      <c r="AG28" s="444"/>
      <c r="AH28" s="274"/>
      <c r="AI28" s="463"/>
      <c r="AJ28" s="463"/>
      <c r="AK28" s="463"/>
      <c r="AL28" s="463"/>
      <c r="AM28" s="463"/>
      <c r="AN28" s="463"/>
      <c r="AO28" s="463"/>
      <c r="AP28" s="463"/>
      <c r="AQ28" s="463"/>
      <c r="AR28" s="463"/>
      <c r="AS28" s="463"/>
      <c r="AT28" s="463"/>
      <c r="AU28" s="463"/>
      <c r="AV28" s="463"/>
      <c r="AW28" s="463"/>
      <c r="AX28" s="5"/>
      <c r="AZ28" s="192"/>
      <c r="BA28" s="192"/>
      <c r="BB28" s="192"/>
      <c r="BC28" s="192"/>
      <c r="BD28" s="192"/>
      <c r="BE28" s="141">
        <f>IF(AND(BO28&gt;0,BO28&lt;=2700),1,0)</f>
        <v>1</v>
      </c>
      <c r="BF28" s="192"/>
      <c r="BG28" s="192"/>
      <c r="BH28" s="192"/>
      <c r="BI28" s="192"/>
      <c r="BJ28" s="192"/>
      <c r="BK28" s="141">
        <f>IF(AND(BO28&gt;2700,BO28&lt;=5350),BP28+1,BP28)</f>
        <v>0</v>
      </c>
      <c r="BL28" s="185"/>
      <c r="BM28" s="141"/>
      <c r="BN28" s="185"/>
      <c r="BO28" s="199">
        <f>BO15</f>
        <v>662</v>
      </c>
      <c r="BP28" s="199">
        <f>BP15</f>
        <v>0</v>
      </c>
      <c r="BQ28" s="185"/>
      <c r="BR28" s="185"/>
      <c r="BS28" s="5"/>
      <c r="BT28" s="5"/>
      <c r="BU28" s="5"/>
      <c r="BV28" s="302"/>
      <c r="BW28" s="5"/>
      <c r="BX28" s="5"/>
      <c r="BY28" s="5"/>
      <c r="CE28" s="1" t="s">
        <v>525</v>
      </c>
    </row>
    <row r="29" spans="2:84" ht="25.05" customHeight="1" x14ac:dyDescent="0.3">
      <c r="B29" s="66"/>
      <c r="C29" s="67"/>
      <c r="D29" s="67"/>
      <c r="E29" s="67"/>
      <c r="F29" s="67"/>
      <c r="G29" s="67"/>
      <c r="H29" s="11"/>
      <c r="J29" s="490" t="s">
        <v>76</v>
      </c>
      <c r="K29" s="491"/>
      <c r="L29" s="491"/>
      <c r="M29" s="491"/>
      <c r="N29" s="235" t="s">
        <v>199</v>
      </c>
      <c r="O29" s="234">
        <f>IF(E10=BV27,ROUNDUP(L9*M9/1000,0),0)</f>
        <v>0</v>
      </c>
      <c r="P29" s="253"/>
      <c r="Q29" s="253"/>
      <c r="R29" s="262">
        <f>O29*Цены!J161</f>
        <v>0</v>
      </c>
      <c r="S29" s="243"/>
      <c r="T29" s="278"/>
      <c r="U29" s="447"/>
      <c r="V29" s="447"/>
      <c r="W29" s="447"/>
      <c r="X29" s="447"/>
      <c r="Y29" s="447"/>
      <c r="Z29" s="447"/>
      <c r="AA29" s="447"/>
      <c r="AB29" s="447"/>
      <c r="AC29" s="447"/>
      <c r="AD29" s="447"/>
      <c r="AE29" s="447"/>
      <c r="AF29" s="447"/>
      <c r="AG29" s="447"/>
      <c r="AH29" s="278"/>
      <c r="AI29" s="464"/>
      <c r="AJ29" s="464"/>
      <c r="AK29" s="464"/>
      <c r="AL29" s="464"/>
      <c r="AM29" s="464"/>
      <c r="AN29" s="464"/>
      <c r="AO29" s="464"/>
      <c r="AP29" s="464"/>
      <c r="AQ29" s="464"/>
      <c r="AR29" s="464"/>
      <c r="AS29" s="464"/>
      <c r="AT29" s="464"/>
      <c r="AU29" s="464"/>
      <c r="AV29" s="464"/>
      <c r="AW29" s="464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</row>
    <row r="30" spans="2:84" ht="25.05" customHeight="1" x14ac:dyDescent="0.3">
      <c r="B30" s="66"/>
      <c r="C30" s="67"/>
      <c r="D30" s="67"/>
      <c r="E30" s="67"/>
      <c r="F30" s="67"/>
      <c r="G30" s="67"/>
      <c r="H30" s="11"/>
      <c r="J30" s="490" t="s">
        <v>129</v>
      </c>
      <c r="K30" s="491"/>
      <c r="L30" s="491"/>
      <c r="M30" s="491"/>
      <c r="N30" s="235" t="s">
        <v>200</v>
      </c>
      <c r="O30" s="234">
        <f>IF(E10=BV26,ROUNDUP(L9*M9/1000,0),0)</f>
        <v>6</v>
      </c>
      <c r="P30" s="253"/>
      <c r="Q30" s="253"/>
      <c r="R30" s="262">
        <f>O30*Цены!J180</f>
        <v>157.92000000000002</v>
      </c>
      <c r="S30" s="243"/>
      <c r="AI30" s="453"/>
      <c r="AJ30" s="453"/>
      <c r="AK30" s="453"/>
      <c r="AL30" s="453"/>
      <c r="AM30" s="453"/>
      <c r="AN30" s="453"/>
      <c r="AO30" s="453"/>
      <c r="AP30" s="453"/>
      <c r="AQ30" s="453"/>
      <c r="AR30" s="453"/>
      <c r="AS30" s="453"/>
      <c r="AT30" s="453"/>
      <c r="AU30" s="453"/>
      <c r="AV30" s="453"/>
      <c r="AW30" s="453"/>
      <c r="BU30" s="5"/>
      <c r="BV30" s="48">
        <v>0</v>
      </c>
      <c r="BW30" s="5"/>
      <c r="BX30" s="5"/>
      <c r="BY30" s="5"/>
    </row>
    <row r="31" spans="2:84" ht="25.05" customHeight="1" thickBot="1" x14ac:dyDescent="0.4">
      <c r="B31" s="86"/>
      <c r="C31" s="87"/>
      <c r="D31" s="329"/>
      <c r="E31" s="329"/>
      <c r="F31" s="329"/>
      <c r="G31" s="329"/>
      <c r="H31" s="11"/>
      <c r="J31" s="599" t="s">
        <v>161</v>
      </c>
      <c r="K31" s="600"/>
      <c r="L31" s="600"/>
      <c r="M31" s="600"/>
      <c r="N31" s="470" t="s">
        <v>201</v>
      </c>
      <c r="O31" s="455">
        <f>IF(O30&gt;0,M9*2,0)</f>
        <v>4</v>
      </c>
      <c r="P31" s="251"/>
      <c r="Q31" s="251"/>
      <c r="R31" s="305">
        <f>O31*Цены!J176</f>
        <v>71.84</v>
      </c>
      <c r="S31" s="243"/>
      <c r="T31" s="243"/>
      <c r="U31" s="78"/>
      <c r="V31" s="78"/>
      <c r="W31" s="78"/>
      <c r="X31" s="78"/>
      <c r="Y31" s="78"/>
      <c r="Z31" s="78"/>
      <c r="AA31" s="78"/>
      <c r="AB31" s="78"/>
      <c r="AC31" s="78"/>
      <c r="AD31" s="78"/>
      <c r="AE31" s="78"/>
      <c r="AF31" s="78"/>
      <c r="AG31" s="78"/>
      <c r="AH31" s="277"/>
      <c r="AI31" s="277"/>
      <c r="AJ31" s="277"/>
      <c r="AK31" s="277"/>
      <c r="AL31" s="277"/>
      <c r="AM31" s="277"/>
      <c r="AN31" s="277"/>
      <c r="AO31" s="277"/>
      <c r="AP31" s="277"/>
      <c r="AQ31" s="277"/>
      <c r="AR31" s="277"/>
      <c r="AS31" s="277"/>
      <c r="AT31" s="277"/>
      <c r="AU31" s="277"/>
      <c r="AV31" s="277"/>
      <c r="AW31" s="277"/>
      <c r="AX31" s="5"/>
      <c r="AY31" s="5"/>
      <c r="AZ31" s="5"/>
      <c r="BA31" s="5"/>
      <c r="BB31" s="5"/>
      <c r="BC31" s="5"/>
      <c r="BD31" s="5"/>
      <c r="BE31" s="241" t="s">
        <v>524</v>
      </c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48">
        <v>1</v>
      </c>
      <c r="BW31" s="5"/>
      <c r="BX31" s="5"/>
      <c r="BY31" s="5"/>
    </row>
    <row r="32" spans="2:84" ht="25.05" customHeight="1" thickBot="1" x14ac:dyDescent="0.35">
      <c r="B32" s="12"/>
      <c r="C32" s="6"/>
      <c r="D32" s="6"/>
      <c r="E32" s="6"/>
      <c r="F32" s="6"/>
      <c r="G32" s="6"/>
      <c r="H32" s="13"/>
      <c r="J32" s="112"/>
      <c r="K32" s="466"/>
      <c r="L32" s="151"/>
      <c r="M32" s="151"/>
      <c r="N32" s="151"/>
      <c r="O32" s="138"/>
      <c r="R32" s="288">
        <f>SUM(R23:R31)</f>
        <v>4052.87</v>
      </c>
      <c r="S32" s="102"/>
      <c r="T32" s="102"/>
      <c r="U32" s="78"/>
      <c r="V32" s="78"/>
      <c r="W32" s="78"/>
      <c r="X32" s="78"/>
      <c r="Y32" s="78"/>
      <c r="Z32" s="78"/>
      <c r="AA32" s="78"/>
      <c r="AB32" s="78"/>
      <c r="AC32" s="78"/>
      <c r="AD32" s="78"/>
      <c r="AE32" s="78"/>
      <c r="AF32" s="78"/>
      <c r="AG32" s="78"/>
      <c r="AH32" s="277"/>
      <c r="AI32" s="277"/>
      <c r="AJ32" s="277"/>
      <c r="AK32" s="277"/>
      <c r="AL32" s="277"/>
      <c r="AM32" s="277"/>
      <c r="AN32" s="277"/>
      <c r="AO32" s="277"/>
      <c r="AP32" s="277"/>
      <c r="AQ32" s="277"/>
      <c r="AR32" s="277"/>
      <c r="AS32" s="277"/>
      <c r="AT32" s="277"/>
      <c r="AU32" s="277"/>
      <c r="AV32" s="277"/>
      <c r="AW32" s="277"/>
      <c r="AX32" s="5"/>
      <c r="AY32" s="5"/>
      <c r="BS32" s="5"/>
      <c r="BT32" s="5"/>
      <c r="BU32" s="5"/>
      <c r="BV32" s="48">
        <v>2</v>
      </c>
      <c r="BW32" s="5"/>
      <c r="BX32" s="5"/>
      <c r="BY32" s="5"/>
    </row>
    <row r="33" spans="2:77" ht="25.05" customHeight="1" thickBot="1" x14ac:dyDescent="0.4">
      <c r="B33" s="86"/>
      <c r="C33" s="87"/>
      <c r="D33" s="329"/>
      <c r="E33" s="329"/>
      <c r="F33" s="329"/>
      <c r="G33" s="325" t="s">
        <v>268</v>
      </c>
      <c r="H33" s="148">
        <f>ROUNDUP((AY18+AY42)*1.1,0)</f>
        <v>27</v>
      </c>
      <c r="J33" s="5"/>
      <c r="K33" s="100"/>
      <c r="L33" s="5"/>
      <c r="M33" s="5"/>
      <c r="N33" s="5"/>
      <c r="O33" s="5"/>
      <c r="Q33" s="567" t="s">
        <v>432</v>
      </c>
      <c r="R33" s="89"/>
      <c r="V33" s="322"/>
      <c r="W33" s="322"/>
      <c r="X33" s="322"/>
      <c r="Y33" s="322"/>
      <c r="Z33" s="322"/>
      <c r="AA33" s="322"/>
      <c r="AB33" s="322"/>
      <c r="AI33" s="443"/>
      <c r="AJ33" s="443"/>
      <c r="AK33" s="443"/>
      <c r="AL33" s="443"/>
      <c r="AM33" s="443"/>
      <c r="AN33" s="443"/>
      <c r="AO33" s="443"/>
      <c r="AP33" s="443"/>
      <c r="AQ33" s="443"/>
      <c r="AR33" s="443"/>
      <c r="AS33" s="443"/>
      <c r="AT33" s="443"/>
      <c r="AU33" s="443"/>
      <c r="AV33" s="443"/>
      <c r="AW33" s="443"/>
      <c r="AX33" s="5"/>
      <c r="AY33" s="5"/>
      <c r="AZ33" s="141" t="s">
        <v>263</v>
      </c>
      <c r="BA33" s="141"/>
      <c r="BB33" s="141"/>
      <c r="BC33" s="185">
        <v>5000</v>
      </c>
      <c r="BD33" s="185"/>
      <c r="BE33" s="185"/>
      <c r="BF33" s="185"/>
      <c r="BG33" s="185"/>
      <c r="BH33" s="185"/>
      <c r="BI33" s="185"/>
      <c r="BJ33" s="185"/>
      <c r="BK33" s="185"/>
      <c r="BL33" s="185"/>
      <c r="BM33" s="186"/>
      <c r="BN33" s="186"/>
      <c r="BO33" s="186"/>
      <c r="BP33" s="186"/>
      <c r="BQ33" s="186"/>
      <c r="BR33" s="186"/>
      <c r="BS33" s="5"/>
      <c r="BT33" s="5"/>
      <c r="BU33" s="5"/>
      <c r="BV33" s="48">
        <v>3</v>
      </c>
      <c r="BW33" s="5"/>
      <c r="BX33" s="5"/>
      <c r="BY33" s="5"/>
    </row>
    <row r="34" spans="2:77" ht="25.05" customHeight="1" thickBot="1" x14ac:dyDescent="0.4">
      <c r="B34" s="91"/>
      <c r="C34" s="92"/>
      <c r="D34" s="93"/>
      <c r="E34" s="93"/>
      <c r="F34" s="93"/>
      <c r="G34" s="93"/>
      <c r="H34" s="94"/>
      <c r="J34" s="5"/>
      <c r="K34" s="5"/>
      <c r="L34" s="479" t="s">
        <v>528</v>
      </c>
      <c r="M34" s="479"/>
      <c r="N34" s="479"/>
      <c r="O34" s="479"/>
      <c r="Q34" s="567"/>
      <c r="R34" s="282">
        <f>R16+R32+H23</f>
        <v>21455.63</v>
      </c>
      <c r="S34" s="272"/>
      <c r="T34" s="272"/>
      <c r="AX34" s="5"/>
      <c r="AY34" s="5"/>
      <c r="AZ34" s="141" t="s">
        <v>264</v>
      </c>
      <c r="BA34" s="141"/>
      <c r="BB34" s="141"/>
      <c r="BC34" s="141">
        <v>5075</v>
      </c>
      <c r="BD34" s="185"/>
      <c r="BE34" s="141"/>
      <c r="BF34" s="141"/>
      <c r="BG34" s="141"/>
      <c r="BH34" s="141"/>
      <c r="BI34" s="141"/>
      <c r="BJ34" s="141"/>
      <c r="BK34" s="141"/>
      <c r="BL34" s="141"/>
      <c r="BM34" s="186"/>
      <c r="BN34" s="186"/>
      <c r="BO34" s="186"/>
      <c r="BP34" s="186"/>
      <c r="BQ34" s="186"/>
      <c r="BR34" s="186"/>
      <c r="BS34" s="5"/>
      <c r="BT34" s="5"/>
      <c r="BU34" s="5"/>
      <c r="BV34" s="48">
        <v>4</v>
      </c>
      <c r="BW34" s="5"/>
      <c r="BX34" s="5"/>
      <c r="BY34" s="5"/>
    </row>
    <row r="35" spans="2:77" ht="25.05" customHeight="1" x14ac:dyDescent="0.3">
      <c r="R35" s="89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89"/>
      <c r="AI35" s="89"/>
      <c r="AJ35" s="89"/>
      <c r="AK35" s="89"/>
      <c r="AL35" s="89"/>
      <c r="AM35" s="89"/>
      <c r="AN35" s="89"/>
      <c r="AO35" s="89"/>
      <c r="AP35" s="89"/>
      <c r="AQ35" s="89"/>
      <c r="AR35" s="89"/>
      <c r="AS35" s="89"/>
      <c r="AT35" s="89"/>
      <c r="AU35" s="89"/>
      <c r="AV35" s="89"/>
      <c r="AW35" s="89"/>
      <c r="AX35" s="5"/>
      <c r="AY35" s="5"/>
      <c r="AZ35" s="185" t="s">
        <v>265</v>
      </c>
      <c r="BA35" s="185"/>
      <c r="BB35" s="185"/>
      <c r="BC35" s="141">
        <v>5400</v>
      </c>
      <c r="BD35" s="185"/>
      <c r="BE35" s="141"/>
      <c r="BF35" s="141"/>
      <c r="BG35" s="141"/>
      <c r="BH35" s="141"/>
      <c r="BI35" s="141"/>
      <c r="BJ35" s="141"/>
      <c r="BK35" s="141"/>
      <c r="BL35" s="141"/>
      <c r="BM35" s="186"/>
      <c r="BN35" s="186"/>
      <c r="BO35" s="186"/>
      <c r="BP35" s="186"/>
      <c r="BQ35" s="186"/>
      <c r="BR35" s="186"/>
      <c r="BS35" s="5"/>
      <c r="BT35" s="5"/>
      <c r="BU35" s="5"/>
      <c r="BV35" s="5"/>
      <c r="BW35" s="5"/>
      <c r="BX35" s="5"/>
      <c r="BY35" s="5"/>
    </row>
    <row r="36" spans="2:77" ht="25.05" customHeight="1" x14ac:dyDescent="0.3">
      <c r="R36" s="89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89"/>
      <c r="AI36" s="89"/>
      <c r="AJ36" s="89"/>
      <c r="AK36" s="89"/>
      <c r="AL36" s="89"/>
      <c r="AM36" s="89"/>
      <c r="AN36" s="89"/>
      <c r="AO36" s="89"/>
      <c r="AP36" s="89"/>
      <c r="AQ36" s="89"/>
      <c r="AR36" s="89"/>
      <c r="AS36" s="89"/>
      <c r="AT36" s="89"/>
      <c r="AU36" s="89"/>
      <c r="AV36" s="89"/>
      <c r="AW36" s="89"/>
      <c r="AX36" s="5"/>
      <c r="AY36" s="54" t="s">
        <v>271</v>
      </c>
      <c r="AZ36" s="96">
        <v>1000</v>
      </c>
      <c r="BA36" s="96">
        <v>1250</v>
      </c>
      <c r="BB36" s="96">
        <v>1800</v>
      </c>
      <c r="BC36" s="96">
        <v>2000</v>
      </c>
      <c r="BD36" s="96">
        <v>2500</v>
      </c>
      <c r="BE36" s="96">
        <v>2700</v>
      </c>
      <c r="BF36" s="96">
        <v>3000</v>
      </c>
      <c r="BG36" s="96">
        <v>3600</v>
      </c>
      <c r="BH36" s="96">
        <v>3750</v>
      </c>
      <c r="BI36" s="96">
        <v>4000</v>
      </c>
      <c r="BJ36" s="96">
        <v>5000</v>
      </c>
      <c r="BK36" s="142">
        <v>5400</v>
      </c>
      <c r="BL36" s="187"/>
      <c r="BM36" s="186"/>
      <c r="BN36" s="186"/>
      <c r="BO36" s="186"/>
      <c r="BP36" s="186"/>
      <c r="BQ36" s="186"/>
      <c r="BR36" s="186"/>
      <c r="BS36" s="5"/>
      <c r="BT36" s="5"/>
      <c r="BU36" s="5"/>
      <c r="BV36" s="5"/>
      <c r="BW36" s="5"/>
      <c r="BX36" s="5"/>
      <c r="BY36" s="5"/>
    </row>
    <row r="37" spans="2:77" ht="25.05" customHeight="1" x14ac:dyDescent="0.3">
      <c r="R37" s="89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89"/>
      <c r="AI37" s="89"/>
      <c r="AJ37" s="89"/>
      <c r="AK37" s="89"/>
      <c r="AL37" s="89"/>
      <c r="AM37" s="89"/>
      <c r="AN37" s="89"/>
      <c r="AO37" s="89"/>
      <c r="AP37" s="89"/>
      <c r="AQ37" s="89"/>
      <c r="AR37" s="89"/>
      <c r="AS37" s="89"/>
      <c r="AT37" s="89"/>
      <c r="AU37" s="89"/>
      <c r="AV37" s="89"/>
      <c r="AW37" s="89"/>
      <c r="AX37" s="5"/>
      <c r="AY37" s="146">
        <f>IF(C18=$BV$10,(F18*E18/1000000)*8,IF(C18=$BV$11,(F18*E18/1000000)*6.5,(F18*E18/1000000)*11))</f>
        <v>20.056476</v>
      </c>
      <c r="AZ37" s="141"/>
      <c r="BA37" s="141"/>
      <c r="BB37" s="141"/>
      <c r="BC37" s="141"/>
      <c r="BD37" s="141"/>
      <c r="BE37" s="141"/>
      <c r="BF37" s="141"/>
      <c r="BG37" s="141"/>
      <c r="BH37" s="141"/>
      <c r="BI37" s="141"/>
      <c r="BJ37" s="141"/>
      <c r="BK37" s="315">
        <f>BK24</f>
        <v>0</v>
      </c>
      <c r="BL37" s="141"/>
      <c r="BM37" s="188"/>
      <c r="BN37" s="188"/>
      <c r="BO37" s="188"/>
      <c r="BP37" s="188"/>
      <c r="BQ37" s="188"/>
      <c r="BR37" s="188"/>
      <c r="BS37" s="5"/>
      <c r="BT37" s="5"/>
      <c r="BU37" s="5"/>
      <c r="BV37" s="54" t="s">
        <v>180</v>
      </c>
      <c r="BW37" s="5"/>
      <c r="BX37" s="5"/>
      <c r="BY37" s="5"/>
    </row>
    <row r="38" spans="2:77" ht="25.05" customHeight="1" x14ac:dyDescent="0.3">
      <c r="AY38" s="146">
        <f>IF(C19=$BV$10,(F19*E19/1000000)*8,IF(C19=$BV$11,(F19*E19/1000000)*6.5,(F19*E19/1000000)*11))</f>
        <v>0</v>
      </c>
      <c r="AZ38" s="197"/>
      <c r="BA38" s="197"/>
      <c r="BB38" s="197"/>
      <c r="BC38" s="197"/>
      <c r="BD38" s="198">
        <f>IF(AND(BL38&gt;0,BL38&lt;=2500),1,0)</f>
        <v>1</v>
      </c>
      <c r="BE38" s="197"/>
      <c r="BF38" s="197"/>
      <c r="BG38" s="197"/>
      <c r="BH38" s="197"/>
      <c r="BI38" s="197"/>
      <c r="BJ38" s="198">
        <f>IF(AND(BL38&gt;2500,BL38&lt;=4950),BM38+1,BM38)</f>
        <v>0</v>
      </c>
      <c r="BK38" s="197"/>
      <c r="BL38" s="199">
        <f>BL23</f>
        <v>670</v>
      </c>
      <c r="BM38" s="199">
        <f t="shared" ref="BM38:BP38" si="27">BM23</f>
        <v>0</v>
      </c>
      <c r="BN38" s="199">
        <f t="shared" si="27"/>
        <v>0</v>
      </c>
      <c r="BO38" s="199">
        <f t="shared" si="27"/>
        <v>0</v>
      </c>
      <c r="BP38" s="199">
        <f t="shared" si="27"/>
        <v>0</v>
      </c>
      <c r="BQ38" s="199"/>
      <c r="BR38" s="199"/>
      <c r="BV38" s="54" t="s">
        <v>175</v>
      </c>
      <c r="BW38" s="5"/>
      <c r="BX38" s="5"/>
      <c r="BY38" s="5"/>
    </row>
    <row r="39" spans="2:77" ht="25.05" customHeight="1" x14ac:dyDescent="0.3">
      <c r="AY39" s="146">
        <f>IF(C20=$BV$10,(F20*E20/1000000)*8,IF(C20=$BV$11,(F20*E20/1000000)*6.5,(F20*E20/1000000)*11))</f>
        <v>0</v>
      </c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199">
        <f t="shared" ref="BL39:BP39" si="28">BL24</f>
        <v>0</v>
      </c>
      <c r="BM39" s="199">
        <f t="shared" si="28"/>
        <v>0</v>
      </c>
      <c r="BN39" s="199">
        <f t="shared" si="28"/>
        <v>0</v>
      </c>
      <c r="BO39" s="199">
        <f t="shared" si="28"/>
        <v>0</v>
      </c>
      <c r="BP39" s="199">
        <f t="shared" si="28"/>
        <v>0</v>
      </c>
      <c r="BQ39" s="199"/>
      <c r="BR39" s="199"/>
      <c r="BW39" s="5"/>
      <c r="BX39" s="5"/>
      <c r="BY39" s="5"/>
    </row>
    <row r="40" spans="2:77" ht="25.05" customHeight="1" x14ac:dyDescent="0.3">
      <c r="AY40" s="146">
        <f>IF(C21=$BV$10,(F21*E21/1000000)*8,IF(C21=$BV$11,(F21*E21/1000000)*6.5,(F21*E21/1000000)*11))</f>
        <v>0</v>
      </c>
      <c r="AZ40" s="200"/>
      <c r="BA40" s="200"/>
      <c r="BB40" s="200"/>
      <c r="BC40" s="200"/>
      <c r="BD40" s="201">
        <f>IF(AND(BL40&gt;0,BL40&lt;=2500),1,0)</f>
        <v>1</v>
      </c>
      <c r="BE40" s="200"/>
      <c r="BF40" s="200"/>
      <c r="BG40" s="200"/>
      <c r="BH40" s="200"/>
      <c r="BI40" s="200"/>
      <c r="BJ40" s="201">
        <f>IF(AND(BL40&gt;2500,BL40&lt;=5025),BM40+1,BM40)</f>
        <v>0</v>
      </c>
      <c r="BK40" s="200"/>
      <c r="BL40" s="199">
        <f t="shared" ref="BL40:BP40" si="29">BL25</f>
        <v>1600</v>
      </c>
      <c r="BM40" s="199">
        <f t="shared" si="29"/>
        <v>0</v>
      </c>
      <c r="BN40" s="199">
        <f t="shared" si="29"/>
        <v>0</v>
      </c>
      <c r="BO40" s="199">
        <f t="shared" si="29"/>
        <v>0</v>
      </c>
      <c r="BP40" s="199">
        <f t="shared" si="29"/>
        <v>0</v>
      </c>
      <c r="BQ40" s="199"/>
      <c r="BR40" s="199"/>
      <c r="BW40" s="5"/>
      <c r="BX40" s="5"/>
      <c r="BY40" s="5"/>
    </row>
    <row r="41" spans="2:77" ht="25.05" customHeight="1" thickBot="1" x14ac:dyDescent="0.35">
      <c r="AY41" s="146">
        <f>IF(C22=$BV$10,(F22*E22/1000000)*8,IF(C22=$BV$11,(F22*E22/1000000)*6.5,(F22*E22/1000000)*11))</f>
        <v>0</v>
      </c>
      <c r="AZ41" s="143"/>
      <c r="BA41" s="143"/>
      <c r="BB41" s="143"/>
      <c r="BC41" s="143"/>
      <c r="BD41" s="141">
        <f>IF(AND(BL41&gt;0,BL41&lt;=2500),1,0)</f>
        <v>1</v>
      </c>
      <c r="BE41" s="143"/>
      <c r="BF41" s="143"/>
      <c r="BG41" s="143"/>
      <c r="BH41" s="143"/>
      <c r="BI41" s="143"/>
      <c r="BJ41" s="141">
        <f>IF(AND(BL41&gt;2500,BL41&lt;=4950),BM41+1,BM41)</f>
        <v>0</v>
      </c>
      <c r="BK41" s="143"/>
      <c r="BL41" s="199">
        <f t="shared" ref="BL41:BP41" si="30">BL26</f>
        <v>1424</v>
      </c>
      <c r="BM41" s="199">
        <f t="shared" si="30"/>
        <v>0</v>
      </c>
      <c r="BN41" s="199">
        <f t="shared" si="30"/>
        <v>0</v>
      </c>
      <c r="BO41" s="199">
        <f t="shared" si="30"/>
        <v>0</v>
      </c>
      <c r="BP41" s="199">
        <f t="shared" si="30"/>
        <v>0</v>
      </c>
      <c r="BQ41" s="199"/>
      <c r="BR41" s="199"/>
      <c r="BV41" s="1" t="s">
        <v>178</v>
      </c>
      <c r="BW41" s="5"/>
      <c r="BX41" s="5"/>
      <c r="BY41" s="5"/>
    </row>
    <row r="42" spans="2:77" ht="25.05" customHeight="1" thickBot="1" x14ac:dyDescent="0.35">
      <c r="AY42" s="195">
        <f>SUM(AY37:AY41)</f>
        <v>20.056476</v>
      </c>
      <c r="AZ42" s="143"/>
      <c r="BA42" s="143"/>
      <c r="BB42" s="143"/>
      <c r="BC42" s="143"/>
      <c r="BD42" s="190">
        <f>IF(AND(J14=BY7,BL42&gt;0,BL42&lt;=2500),1,0)</f>
        <v>0</v>
      </c>
      <c r="BE42" s="191">
        <f>IF(AND(J14=BY6,BO42&gt;0,BO42&lt;=2700),1,0)</f>
        <v>0</v>
      </c>
      <c r="BF42" s="143"/>
      <c r="BG42" s="143"/>
      <c r="BH42" s="143"/>
      <c r="BI42" s="143"/>
      <c r="BJ42" s="190">
        <f>IF(AND(J14=BY7,BL42&gt;2500,BL42&lt;=4950),BM42+1,BM42)</f>
        <v>0</v>
      </c>
      <c r="BK42" s="191">
        <f>IF(AND(J14=BY6,BO42&gt;2700,BO42&lt;=5350),BP42+1,BP42)</f>
        <v>0</v>
      </c>
      <c r="BL42" s="199">
        <f t="shared" ref="BL42:BP42" si="31">BL27</f>
        <v>0</v>
      </c>
      <c r="BM42" s="199">
        <f t="shared" si="31"/>
        <v>0</v>
      </c>
      <c r="BN42" s="199">
        <f t="shared" si="31"/>
        <v>0</v>
      </c>
      <c r="BO42" s="199">
        <f t="shared" si="31"/>
        <v>0</v>
      </c>
      <c r="BP42" s="199">
        <f t="shared" si="31"/>
        <v>0</v>
      </c>
      <c r="BQ42" s="199"/>
      <c r="BR42" s="199"/>
      <c r="BV42" s="54" t="s">
        <v>175</v>
      </c>
      <c r="BW42" s="5"/>
      <c r="BX42" s="5"/>
      <c r="BY42" s="5"/>
    </row>
    <row r="43" spans="2:77" ht="25.05" customHeight="1" x14ac:dyDescent="0.3">
      <c r="AY43" s="38"/>
      <c r="AZ43" s="192"/>
      <c r="BA43" s="192"/>
      <c r="BB43" s="192"/>
      <c r="BC43" s="192"/>
      <c r="BD43" s="192"/>
      <c r="BE43" s="141">
        <f>IF(AND(BO43&gt;0,BO43&lt;=2700),1,0)</f>
        <v>1</v>
      </c>
      <c r="BF43" s="192"/>
      <c r="BG43" s="192"/>
      <c r="BH43" s="192"/>
      <c r="BI43" s="192"/>
      <c r="BJ43" s="192"/>
      <c r="BK43" s="141">
        <f>IF(AND(BO43&gt;2700,BO43&lt;=5350),BP43+1,BP43)</f>
        <v>0</v>
      </c>
      <c r="BL43" s="199">
        <f t="shared" ref="BL43:BP43" si="32">BL28</f>
        <v>0</v>
      </c>
      <c r="BM43" s="199">
        <f t="shared" si="32"/>
        <v>0</v>
      </c>
      <c r="BN43" s="199">
        <f t="shared" si="32"/>
        <v>0</v>
      </c>
      <c r="BO43" s="199">
        <f t="shared" si="32"/>
        <v>662</v>
      </c>
      <c r="BP43" s="199">
        <f t="shared" si="32"/>
        <v>0</v>
      </c>
      <c r="BQ43" s="199"/>
      <c r="BR43" s="199"/>
      <c r="BS43" s="38"/>
      <c r="BT43" s="38"/>
      <c r="BU43" s="38"/>
      <c r="BV43" s="5"/>
      <c r="BW43" s="5"/>
      <c r="BX43" s="5"/>
      <c r="BY43" s="5"/>
    </row>
    <row r="44" spans="2:77" ht="25.05" customHeight="1" x14ac:dyDescent="0.3"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5"/>
      <c r="BW44" s="5"/>
      <c r="BX44" s="5"/>
      <c r="BY44" s="5"/>
    </row>
    <row r="45" spans="2:77" ht="25.05" customHeight="1" x14ac:dyDescent="0.3"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79" t="s">
        <v>118</v>
      </c>
      <c r="BW45" s="5"/>
      <c r="BX45" s="5"/>
      <c r="BY45" s="5"/>
    </row>
    <row r="46" spans="2:77" ht="25.05" customHeight="1" x14ac:dyDescent="0.3">
      <c r="AY46" s="38"/>
      <c r="AZ46" s="5"/>
      <c r="BA46" s="5"/>
      <c r="BB46" s="5"/>
      <c r="BC46" s="5"/>
      <c r="BD46" s="5"/>
      <c r="BE46" s="241" t="s">
        <v>525</v>
      </c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38"/>
      <c r="BT46" s="38"/>
      <c r="BU46" s="38"/>
      <c r="BV46" s="79" t="s">
        <v>119</v>
      </c>
      <c r="BW46" s="5"/>
      <c r="BX46" s="5"/>
      <c r="BY46" s="5"/>
    </row>
    <row r="47" spans="2:77" ht="25.05" customHeight="1" x14ac:dyDescent="0.3">
      <c r="AY47" s="38"/>
      <c r="BS47" s="38"/>
      <c r="BT47" s="38"/>
      <c r="BU47" s="38"/>
      <c r="BV47" s="5"/>
      <c r="BW47" s="5"/>
      <c r="BX47" s="5"/>
      <c r="BY47" s="5"/>
    </row>
    <row r="48" spans="2:77" ht="25.05" customHeight="1" x14ac:dyDescent="0.3">
      <c r="AY48" s="38"/>
      <c r="AZ48" s="141" t="s">
        <v>263</v>
      </c>
      <c r="BA48" s="141"/>
      <c r="BB48" s="141"/>
      <c r="BC48" s="185">
        <v>5000</v>
      </c>
      <c r="BD48" s="185"/>
      <c r="BE48" s="185"/>
      <c r="BF48" s="185"/>
      <c r="BG48" s="185"/>
      <c r="BH48" s="185"/>
      <c r="BI48" s="185"/>
      <c r="BJ48" s="185"/>
      <c r="BK48" s="185"/>
      <c r="BL48" s="185"/>
      <c r="BM48" s="186"/>
      <c r="BN48" s="186"/>
      <c r="BO48" s="186"/>
      <c r="BP48" s="186"/>
      <c r="BQ48" s="186"/>
      <c r="BR48" s="186"/>
      <c r="BS48" s="38"/>
      <c r="BT48" s="38"/>
      <c r="BU48" s="38"/>
      <c r="BV48" s="5"/>
      <c r="BW48" s="5"/>
      <c r="BX48" s="5"/>
      <c r="BY48" s="5"/>
    </row>
    <row r="49" spans="51:77" s="54" customFormat="1" ht="25.05" customHeight="1" x14ac:dyDescent="0.35">
      <c r="AY49" s="38"/>
      <c r="AZ49" s="141" t="s">
        <v>264</v>
      </c>
      <c r="BA49" s="141"/>
      <c r="BB49" s="141"/>
      <c r="BC49" s="141">
        <v>5075</v>
      </c>
      <c r="BD49" s="185"/>
      <c r="BE49" s="141"/>
      <c r="BF49" s="141"/>
      <c r="BG49" s="141"/>
      <c r="BH49" s="141"/>
      <c r="BI49" s="141"/>
      <c r="BJ49" s="141"/>
      <c r="BK49" s="141"/>
      <c r="BL49" s="141"/>
      <c r="BM49" s="186"/>
      <c r="BN49" s="186"/>
      <c r="BO49" s="186"/>
      <c r="BP49" s="186"/>
      <c r="BQ49" s="186"/>
      <c r="BR49" s="186"/>
      <c r="BS49" s="38"/>
      <c r="BT49" s="38"/>
      <c r="BU49" s="38"/>
      <c r="BV49" s="90" t="s">
        <v>126</v>
      </c>
      <c r="BW49" s="5"/>
      <c r="BX49" s="5"/>
      <c r="BY49" s="5"/>
    </row>
    <row r="50" spans="51:77" s="54" customFormat="1" ht="25.05" customHeight="1" x14ac:dyDescent="0.3">
      <c r="AY50" s="38"/>
      <c r="AZ50" s="185" t="s">
        <v>265</v>
      </c>
      <c r="BA50" s="185"/>
      <c r="BB50" s="185"/>
      <c r="BC50" s="141">
        <v>5400</v>
      </c>
      <c r="BD50" s="185"/>
      <c r="BE50" s="141"/>
      <c r="BF50" s="141"/>
      <c r="BG50" s="141"/>
      <c r="BH50" s="141"/>
      <c r="BI50" s="141"/>
      <c r="BJ50" s="141"/>
      <c r="BK50" s="141"/>
      <c r="BL50" s="141"/>
      <c r="BM50" s="186"/>
      <c r="BN50" s="186"/>
      <c r="BO50" s="186"/>
      <c r="BP50" s="186"/>
      <c r="BQ50" s="186"/>
      <c r="BR50" s="186"/>
      <c r="BS50" s="38"/>
      <c r="BT50" s="38"/>
      <c r="BU50" s="38"/>
      <c r="BV50" s="1" t="s">
        <v>94</v>
      </c>
      <c r="BW50" s="5"/>
      <c r="BX50" s="5"/>
      <c r="BY50" s="5"/>
    </row>
    <row r="51" spans="51:77" s="54" customFormat="1" ht="25.05" customHeight="1" x14ac:dyDescent="0.3">
      <c r="AZ51" s="96">
        <v>1000</v>
      </c>
      <c r="BA51" s="96">
        <v>1250</v>
      </c>
      <c r="BB51" s="96">
        <v>1800</v>
      </c>
      <c r="BC51" s="96">
        <v>2000</v>
      </c>
      <c r="BD51" s="96">
        <v>2500</v>
      </c>
      <c r="BE51" s="96">
        <v>2700</v>
      </c>
      <c r="BF51" s="96">
        <v>3000</v>
      </c>
      <c r="BG51" s="96">
        <v>3600</v>
      </c>
      <c r="BH51" s="96">
        <v>3750</v>
      </c>
      <c r="BI51" s="96">
        <v>4000</v>
      </c>
      <c r="BJ51" s="96">
        <v>5000</v>
      </c>
      <c r="BK51" s="142">
        <v>5400</v>
      </c>
      <c r="BL51" s="187"/>
      <c r="BM51" s="186"/>
      <c r="BN51" s="186"/>
      <c r="BO51" s="186"/>
      <c r="BP51" s="186"/>
      <c r="BQ51" s="186"/>
      <c r="BR51" s="186"/>
      <c r="BV51" s="38" t="str">
        <f>Подвесная!BV50</f>
        <v>Серебро матовое</v>
      </c>
      <c r="BW51" s="5"/>
      <c r="BX51" s="5"/>
      <c r="BY51" s="5"/>
    </row>
    <row r="52" spans="51:77" s="54" customFormat="1" ht="25.05" customHeight="1" x14ac:dyDescent="0.3">
      <c r="AZ52" s="141"/>
      <c r="BA52" s="141"/>
      <c r="BB52" s="141"/>
      <c r="BC52" s="141"/>
      <c r="BD52" s="141"/>
      <c r="BE52" s="141"/>
      <c r="BF52" s="141"/>
      <c r="BG52" s="141"/>
      <c r="BH52" s="141"/>
      <c r="BI52" s="141"/>
      <c r="BJ52" s="141"/>
      <c r="BK52" s="315">
        <f>BK39</f>
        <v>0</v>
      </c>
      <c r="BL52" s="141"/>
      <c r="BM52" s="188"/>
      <c r="BN52" s="188"/>
      <c r="BO52" s="188"/>
      <c r="BP52" s="188"/>
      <c r="BQ52" s="188"/>
      <c r="BR52" s="188"/>
      <c r="BV52" s="38" t="str">
        <f>Подвесная!BV51</f>
        <v>Черный матовый</v>
      </c>
      <c r="BW52" s="5"/>
      <c r="BX52" s="5"/>
      <c r="BY52" s="5"/>
    </row>
    <row r="53" spans="51:77" s="54" customFormat="1" ht="25.05" customHeight="1" x14ac:dyDescent="0.3">
      <c r="AZ53" s="197"/>
      <c r="BA53" s="197"/>
      <c r="BB53" s="197"/>
      <c r="BC53" s="197"/>
      <c r="BD53" s="198">
        <f>IF(AND(BL53&gt;0,BL53&lt;=2500),1,0)</f>
        <v>1</v>
      </c>
      <c r="BE53" s="197"/>
      <c r="BF53" s="197"/>
      <c r="BG53" s="197"/>
      <c r="BH53" s="197"/>
      <c r="BI53" s="197"/>
      <c r="BJ53" s="198">
        <f>IF(AND(BL53&gt;2500,BL53&lt;=4950),BM53+1,BM53)</f>
        <v>0</v>
      </c>
      <c r="BK53" s="197"/>
      <c r="BL53" s="199">
        <f>BL38</f>
        <v>670</v>
      </c>
      <c r="BM53" s="199">
        <f t="shared" ref="BM53:BP53" si="33">BM38</f>
        <v>0</v>
      </c>
      <c r="BN53" s="199">
        <f t="shared" si="33"/>
        <v>0</v>
      </c>
      <c r="BO53" s="199">
        <f t="shared" si="33"/>
        <v>0</v>
      </c>
      <c r="BP53" s="199">
        <f t="shared" si="33"/>
        <v>0</v>
      </c>
      <c r="BQ53" s="199"/>
      <c r="BR53" s="199"/>
      <c r="BV53" s="38" t="str">
        <f>Подвесная!BV52</f>
        <v>Слоновая кость</v>
      </c>
      <c r="BW53" s="5"/>
      <c r="BX53" s="5"/>
      <c r="BY53" s="5"/>
    </row>
    <row r="54" spans="51:77" s="54" customFormat="1" ht="25.05" customHeight="1" x14ac:dyDescent="0.3"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199">
        <f t="shared" ref="BL54:BP54" si="34">BL39</f>
        <v>0</v>
      </c>
      <c r="BM54" s="199">
        <f t="shared" si="34"/>
        <v>0</v>
      </c>
      <c r="BN54" s="199">
        <f t="shared" si="34"/>
        <v>0</v>
      </c>
      <c r="BO54" s="199">
        <f t="shared" si="34"/>
        <v>0</v>
      </c>
      <c r="BP54" s="199">
        <f t="shared" si="34"/>
        <v>0</v>
      </c>
      <c r="BQ54" s="199"/>
      <c r="BR54" s="199"/>
      <c r="BV54" s="38" t="str">
        <f>Подвесная!BV53</f>
        <v>Белый матовый</v>
      </c>
    </row>
    <row r="55" spans="51:77" s="54" customFormat="1" ht="25.05" customHeight="1" x14ac:dyDescent="0.3">
      <c r="AZ55" s="200"/>
      <c r="BA55" s="200"/>
      <c r="BB55" s="200"/>
      <c r="BC55" s="200"/>
      <c r="BD55" s="201">
        <f>IF(AND(BL55&gt;0,BL55&lt;=2500),1,0)</f>
        <v>1</v>
      </c>
      <c r="BE55" s="200"/>
      <c r="BF55" s="200"/>
      <c r="BG55" s="200"/>
      <c r="BH55" s="200"/>
      <c r="BI55" s="200"/>
      <c r="BJ55" s="201">
        <f>IF(AND(BL55&gt;2500,BL55&lt;=5025),BM55+1,BM55)</f>
        <v>0</v>
      </c>
      <c r="BK55" s="200"/>
      <c r="BL55" s="199">
        <f t="shared" ref="BL55:BP55" si="35">BL40</f>
        <v>1600</v>
      </c>
      <c r="BM55" s="199">
        <f t="shared" si="35"/>
        <v>0</v>
      </c>
      <c r="BN55" s="199">
        <f t="shared" si="35"/>
        <v>0</v>
      </c>
      <c r="BO55" s="199">
        <f t="shared" si="35"/>
        <v>0</v>
      </c>
      <c r="BP55" s="199">
        <f t="shared" si="35"/>
        <v>0</v>
      </c>
      <c r="BQ55" s="199"/>
      <c r="BR55" s="199"/>
      <c r="BV55" s="38" t="str">
        <f>Подвесная!BV54</f>
        <v xml:space="preserve">Венге темный </v>
      </c>
    </row>
    <row r="56" spans="51:77" s="54" customFormat="1" ht="25.05" customHeight="1" x14ac:dyDescent="0.3">
      <c r="AZ56" s="143"/>
      <c r="BA56" s="143"/>
      <c r="BB56" s="143"/>
      <c r="BC56" s="143"/>
      <c r="BD56" s="141">
        <f>IF(AND(BL56&gt;0,BL56&lt;=2500),1,0)</f>
        <v>1</v>
      </c>
      <c r="BE56" s="143"/>
      <c r="BF56" s="143"/>
      <c r="BG56" s="143"/>
      <c r="BH56" s="143"/>
      <c r="BI56" s="143"/>
      <c r="BJ56" s="141">
        <f>IF(AND(BL56&gt;2500,BL56&lt;=4950),BM56+1,BM56)</f>
        <v>0</v>
      </c>
      <c r="BK56" s="143"/>
      <c r="BL56" s="199">
        <f t="shared" ref="BL56:BP56" si="36">BL41</f>
        <v>1424</v>
      </c>
      <c r="BM56" s="199">
        <f t="shared" si="36"/>
        <v>0</v>
      </c>
      <c r="BN56" s="199">
        <f t="shared" si="36"/>
        <v>0</v>
      </c>
      <c r="BO56" s="199">
        <f t="shared" si="36"/>
        <v>0</v>
      </c>
      <c r="BP56" s="199">
        <f t="shared" si="36"/>
        <v>0</v>
      </c>
      <c r="BQ56" s="199"/>
      <c r="BR56" s="199"/>
      <c r="BV56" s="38" t="str">
        <f>Подвесная!BV55</f>
        <v>Дуб белый</v>
      </c>
    </row>
    <row r="57" spans="51:77" s="54" customFormat="1" ht="25.05" customHeight="1" x14ac:dyDescent="0.3">
      <c r="AZ57" s="143"/>
      <c r="BA57" s="143"/>
      <c r="BB57" s="191">
        <f>IF(AND(J14=BY6,BO57&gt;0,BO57&lt;=1800),1,0)</f>
        <v>0</v>
      </c>
      <c r="BC57" s="143"/>
      <c r="BD57" s="190">
        <f>IF(AND(J14=BY7,BL57&gt;0,BL57&lt;=2500),1,0)</f>
        <v>0</v>
      </c>
      <c r="BE57" s="191">
        <f>IF(AND(J14=BY6,BO57&gt;1800,BO57&lt;=2700),1,0)</f>
        <v>0</v>
      </c>
      <c r="BF57" s="143"/>
      <c r="BG57" s="191">
        <f>IF(AND(J14=BY6,BO57&gt;2700,BO57&lt;=3600),1,0)</f>
        <v>0</v>
      </c>
      <c r="BH57" s="143"/>
      <c r="BI57" s="143"/>
      <c r="BJ57" s="190">
        <f>IF(AND(J14=BY7,BL57&gt;2500,BL57&lt;=4950),BM57+1,BM57)</f>
        <v>0</v>
      </c>
      <c r="BK57" s="191">
        <f>IF(AND(J14=BY6,BO57&gt;3600,BO57&lt;=5350),BP57+1,BP57)</f>
        <v>0</v>
      </c>
      <c r="BL57" s="199">
        <f t="shared" ref="BL57:BP57" si="37">BL42</f>
        <v>0</v>
      </c>
      <c r="BM57" s="199">
        <f t="shared" si="37"/>
        <v>0</v>
      </c>
      <c r="BN57" s="199">
        <f t="shared" si="37"/>
        <v>0</v>
      </c>
      <c r="BO57" s="199">
        <f t="shared" si="37"/>
        <v>0</v>
      </c>
      <c r="BP57" s="199">
        <f t="shared" si="37"/>
        <v>0</v>
      </c>
      <c r="BQ57" s="199"/>
      <c r="BR57" s="199"/>
      <c r="BV57" s="38" t="str">
        <f>Подвесная!BV56</f>
        <v xml:space="preserve"> медь античная*</v>
      </c>
    </row>
    <row r="58" spans="51:77" s="54" customFormat="1" ht="25.05" customHeight="1" x14ac:dyDescent="0.3">
      <c r="AZ58" s="192"/>
      <c r="BA58" s="192"/>
      <c r="BB58" s="192"/>
      <c r="BC58" s="192"/>
      <c r="BD58" s="192"/>
      <c r="BE58" s="141">
        <f>IF(AND(BO58&gt;0,BO58&lt;=2700),1,0)</f>
        <v>1</v>
      </c>
      <c r="BF58" s="192"/>
      <c r="BG58" s="192"/>
      <c r="BH58" s="192"/>
      <c r="BI58" s="192"/>
      <c r="BJ58" s="192"/>
      <c r="BK58" s="141">
        <f>IF(AND(BO58&gt;2700,BO58&lt;=5350),BP58+1,BP58)</f>
        <v>0</v>
      </c>
      <c r="BL58" s="199">
        <f t="shared" ref="BL58:BP58" si="38">BL43</f>
        <v>0</v>
      </c>
      <c r="BM58" s="199">
        <f t="shared" si="38"/>
        <v>0</v>
      </c>
      <c r="BN58" s="199">
        <f t="shared" si="38"/>
        <v>0</v>
      </c>
      <c r="BO58" s="199">
        <f t="shared" si="38"/>
        <v>662</v>
      </c>
      <c r="BP58" s="199">
        <f t="shared" si="38"/>
        <v>0</v>
      </c>
      <c r="BQ58" s="199"/>
      <c r="BR58" s="199"/>
      <c r="BV58" s="38" t="str">
        <f>Подвесная!BV57</f>
        <v>сталь воронёная</v>
      </c>
    </row>
    <row r="59" spans="51:77" x14ac:dyDescent="0.3">
      <c r="BV59" s="38" t="str">
        <f>Подвесная!BV58</f>
        <v>золото матовое</v>
      </c>
    </row>
    <row r="60" spans="51:77" x14ac:dyDescent="0.3">
      <c r="BV60" s="38" t="str">
        <f>Подвесная!BV59</f>
        <v>антрацит</v>
      </c>
    </row>
    <row r="61" spans="51:77" x14ac:dyDescent="0.3">
      <c r="BV61" s="38" t="str">
        <f>Подвесная!BV60</f>
        <v>кварц бронзовый*</v>
      </c>
    </row>
    <row r="62" spans="51:77" x14ac:dyDescent="0.3">
      <c r="BV62" s="38" t="str">
        <f>Подвесная!BV61</f>
        <v>жемчуг серый*</v>
      </c>
    </row>
    <row r="63" spans="51:77" x14ac:dyDescent="0.3">
      <c r="BV63" s="38" t="str">
        <f>Подвесная!BV62</f>
        <v>жемчуг розовый*</v>
      </c>
    </row>
  </sheetData>
  <sheetProtection algorithmName="SHA-512" hashValue="ayLERrvF/zFDO0HAIXZchS2JYHpNLJyacE0x9kRPb/LXelfEGIo6TGxb5N8MNiUdsEhzna6FjJam1wILaiCFXQ==" saltValue="kR0ujBawyUfG9Ct4vT4uRw==" spinCount="100000" sheet="1" selectLockedCells="1"/>
  <mergeCells count="60">
    <mergeCell ref="L34:O34"/>
    <mergeCell ref="W3:Y3"/>
    <mergeCell ref="AC18:AG18"/>
    <mergeCell ref="C28:D28"/>
    <mergeCell ref="E23:G23"/>
    <mergeCell ref="J21:L21"/>
    <mergeCell ref="R10:R11"/>
    <mergeCell ref="U10:U11"/>
    <mergeCell ref="C24:D24"/>
    <mergeCell ref="B10:D10"/>
    <mergeCell ref="AE10:AE11"/>
    <mergeCell ref="U16:AG16"/>
    <mergeCell ref="O10:O11"/>
    <mergeCell ref="N10:N11"/>
    <mergeCell ref="AF10:AF11"/>
    <mergeCell ref="J29:M29"/>
    <mergeCell ref="Y10:Y11"/>
    <mergeCell ref="Z10:Z11"/>
    <mergeCell ref="X10:X11"/>
    <mergeCell ref="W10:W11"/>
    <mergeCell ref="AB10:AB11"/>
    <mergeCell ref="B8:D8"/>
    <mergeCell ref="B9:D9"/>
    <mergeCell ref="E3:H3"/>
    <mergeCell ref="E4:H4"/>
    <mergeCell ref="E5:H5"/>
    <mergeCell ref="E6:H6"/>
    <mergeCell ref="E7:H7"/>
    <mergeCell ref="J30:M30"/>
    <mergeCell ref="J31:M31"/>
    <mergeCell ref="Q33:Q34"/>
    <mergeCell ref="B1:H1"/>
    <mergeCell ref="J1:O1"/>
    <mergeCell ref="J22:M22"/>
    <mergeCell ref="J23:M23"/>
    <mergeCell ref="J24:M24"/>
    <mergeCell ref="E8:H8"/>
    <mergeCell ref="E9:H9"/>
    <mergeCell ref="E10:H10"/>
    <mergeCell ref="B3:D3"/>
    <mergeCell ref="B4:D4"/>
    <mergeCell ref="B5:D5"/>
    <mergeCell ref="B6:D6"/>
    <mergeCell ref="B7:D7"/>
    <mergeCell ref="Z3:AA3"/>
    <mergeCell ref="V10:V11"/>
    <mergeCell ref="AC10:AC11"/>
    <mergeCell ref="J28:M28"/>
    <mergeCell ref="J25:M25"/>
    <mergeCell ref="J26:M26"/>
    <mergeCell ref="J27:M27"/>
    <mergeCell ref="U7:AH7"/>
    <mergeCell ref="J7:M7"/>
    <mergeCell ref="J3:K3"/>
    <mergeCell ref="AH10:AH11"/>
    <mergeCell ref="AG10:AG11"/>
    <mergeCell ref="R4:R5"/>
    <mergeCell ref="T10:T11"/>
    <mergeCell ref="AA10:AA11"/>
    <mergeCell ref="AD10:AD11"/>
  </mergeCells>
  <conditionalFormatting sqref="U10:AF15">
    <cfRule type="cellIs" dxfId="25" priority="57" operator="equal">
      <formula>0</formula>
    </cfRule>
  </conditionalFormatting>
  <conditionalFormatting sqref="E10">
    <cfRule type="cellIs" dxfId="24" priority="50" operator="greaterThan">
      <formula>0</formula>
    </cfRule>
  </conditionalFormatting>
  <conditionalFormatting sqref="K4">
    <cfRule type="expression" dxfId="23" priority="79">
      <formula>$K$4&gt;3200</formula>
    </cfRule>
  </conditionalFormatting>
  <conditionalFormatting sqref="K5">
    <cfRule type="expression" dxfId="22" priority="43">
      <formula>OR($K$5&lt;200,$K$5&gt;1200)</formula>
    </cfRule>
  </conditionalFormatting>
  <conditionalFormatting sqref="E6">
    <cfRule type="cellIs" dxfId="21" priority="33" operator="greaterThan">
      <formula>0</formula>
    </cfRule>
  </conditionalFormatting>
  <conditionalFormatting sqref="S34:T34">
    <cfRule type="expression" dxfId="20" priority="904">
      <formula>$E$4=0</formula>
    </cfRule>
  </conditionalFormatting>
  <conditionalFormatting sqref="K20:L20 L11:M11 AH16 O12:Q12 S32 L9:Q10 O23:Q27 K4:K5 U15:AH15 T14:AF15 L12:N15 O15:Q15 P13:Q14 S14:S16 S23:S27 AT12:AW13 AT9:AW10 S9:AH10 S12:AH13 AU11:AU15 U13:AG15 AT16:AW16 AV17 AT15:AU15">
    <cfRule type="expression" dxfId="19" priority="906">
      <formula>$E$4=0</formula>
    </cfRule>
  </conditionalFormatting>
  <conditionalFormatting sqref="E18 F18:H22 H23 K4:K5 O28:Q31 T16 S17 S28:S31">
    <cfRule type="expression" dxfId="18" priority="920">
      <formula>$E$4=0</formula>
    </cfRule>
  </conditionalFormatting>
  <conditionalFormatting sqref="AB3:AC3">
    <cfRule type="expression" dxfId="17" priority="28">
      <formula>$CF$19=FALSE</formula>
    </cfRule>
  </conditionalFormatting>
  <conditionalFormatting sqref="O14">
    <cfRule type="expression" dxfId="16" priority="26">
      <formula>$E$4=0</formula>
    </cfRule>
  </conditionalFormatting>
  <conditionalFormatting sqref="O13">
    <cfRule type="expression" dxfId="15" priority="25">
      <formula>$E$4=0</formula>
    </cfRule>
  </conditionalFormatting>
  <conditionalFormatting sqref="AQ15:AS16 AQ9:AS10 AJ10:AT10 AI9:AI16 AJ12:AT15">
    <cfRule type="expression" dxfId="14" priority="13">
      <formula>$E$4=0</formula>
    </cfRule>
  </conditionalFormatting>
  <conditionalFormatting sqref="AL12:AP13 AL9:AP10 AL15:AP16">
    <cfRule type="expression" dxfId="13" priority="10">
      <formula>$E$4=0</formula>
    </cfRule>
  </conditionalFormatting>
  <conditionalFormatting sqref="AJ15:AK16 AJ9:AK10 AJ12:AK13">
    <cfRule type="expression" dxfId="12" priority="7">
      <formula>$E$4=0</formula>
    </cfRule>
  </conditionalFormatting>
  <conditionalFormatting sqref="E9">
    <cfRule type="expression" dxfId="11" priority="1125">
      <formula>$E$8=$BV$17</formula>
    </cfRule>
  </conditionalFormatting>
  <conditionalFormatting sqref="H33">
    <cfRule type="expression" dxfId="10" priority="1126">
      <formula>AND($E$8=$BV$18,$H$33&gt;30)</formula>
    </cfRule>
    <cfRule type="expression" dxfId="9" priority="1127">
      <formula>$H$33&gt;50</formula>
    </cfRule>
  </conditionalFormatting>
  <conditionalFormatting sqref="C24:D24">
    <cfRule type="expression" dxfId="8" priority="1128">
      <formula>$C$24=$BV$45</formula>
    </cfRule>
  </conditionalFormatting>
  <conditionalFormatting sqref="C28">
    <cfRule type="expression" dxfId="7" priority="1129">
      <formula>$C$28=$BV$49</formula>
    </cfRule>
  </conditionalFormatting>
  <conditionalFormatting sqref="C24">
    <cfRule type="expression" dxfId="6" priority="1130">
      <formula>$C$24=$BV$46</formula>
    </cfRule>
  </conditionalFormatting>
  <conditionalFormatting sqref="T14:AH16 S14:S17 S22:S33 R20:S21 R1:AH2 R19:AW19 S34:AW34 R6:AH6 S4:AH5 R3:T3 V3:W3 Z3:AH3 S7:AH13 U13:AG15 AI1:AW13 AV17 AI16:AW16 AI14:AU15 R18:AB18 AI18:AW18">
    <cfRule type="expression" dxfId="5" priority="1131">
      <formula>$N$3=$CE$9</formula>
    </cfRule>
  </conditionalFormatting>
  <conditionalFormatting sqref="T1:AW2 T34:AW34 T19:AW19 T3 V3:W3 Z3:AW3 T4:AW13 AV17 T16:AW16 T14:AU15 T18:AB18 AI18:AW18">
    <cfRule type="expression" dxfId="4" priority="1144">
      <formula>$N$3=$CE$10</formula>
    </cfRule>
  </conditionalFormatting>
  <conditionalFormatting sqref="U9:AF9">
    <cfRule type="cellIs" dxfId="3" priority="4" operator="equal">
      <formula>0</formula>
    </cfRule>
  </conditionalFormatting>
  <conditionalFormatting sqref="U22:AF28">
    <cfRule type="cellIs" dxfId="2" priority="3" operator="equal">
      <formula>0</formula>
    </cfRule>
  </conditionalFormatting>
  <conditionalFormatting sqref="AW15">
    <cfRule type="expression" dxfId="1" priority="2">
      <formula>$E$4=0</formula>
    </cfRule>
  </conditionalFormatting>
  <conditionalFormatting sqref="AV15">
    <cfRule type="expression" dxfId="0" priority="1">
      <formula>$E$4=0</formula>
    </cfRule>
  </conditionalFormatting>
  <dataValidations count="8">
    <dataValidation type="list" allowBlank="1" showInputMessage="1" showErrorMessage="1" sqref="E8">
      <formula1>$BV$15:$BV$18</formula1>
    </dataValidation>
    <dataValidation type="whole" allowBlank="1" showInputMessage="1" showErrorMessage="1" sqref="E9">
      <formula1>1</formula1>
      <formula2>10</formula2>
    </dataValidation>
    <dataValidation type="list" allowBlank="1" showInputMessage="1" showErrorMessage="1" sqref="E5">
      <formula1>$BV$30:$BV$34</formula1>
    </dataValidation>
    <dataValidation type="list" allowBlank="1" showInputMessage="1" showErrorMessage="1" sqref="C18:C22">
      <formula1>$BV$10:$BV$12</formula1>
    </dataValidation>
    <dataValidation type="list" allowBlank="1" showInputMessage="1" showErrorMessage="1" sqref="E6">
      <formula1>$BY$6:$BY$7</formula1>
    </dataValidation>
    <dataValidation type="list" allowBlank="1" showInputMessage="1" showErrorMessage="1" sqref="E10">
      <formula1>$BV$24:$BV$27</formula1>
    </dataValidation>
    <dataValidation type="list" allowBlank="1" showInputMessage="1" showErrorMessage="1" sqref="E7:H7">
      <formula1>$BV$51:$BV$63</formula1>
    </dataValidation>
    <dataValidation type="list" allowBlank="1" showInputMessage="1" showErrorMessage="1" sqref="Z3:AA3">
      <formula1>$CE$21:$CE$28</formula1>
    </dataValidation>
  </dataValidations>
  <printOptions horizontalCentered="1" verticalCentered="1"/>
  <pageMargins left="0.11811023622047245" right="0.11811023622047245" top="0.74803149606299213" bottom="0.74803149606299213" header="0.31496062992125984" footer="0.31496062992125984"/>
  <pageSetup paperSize="9" scale="37" orientation="landscape" verticalDpi="120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3" id="{EF76963A-3665-484E-89CB-BD520C342830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E24:G24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1"/>
  </sheetPr>
  <dimension ref="A1:P230"/>
  <sheetViews>
    <sheetView tabSelected="1" workbookViewId="0">
      <selection activeCell="K2" sqref="K2"/>
    </sheetView>
  </sheetViews>
  <sheetFormatPr defaultColWidth="9.109375" defaultRowHeight="14.4" x14ac:dyDescent="0.3"/>
  <cols>
    <col min="1" max="1" width="1" style="28" customWidth="1"/>
    <col min="2" max="2" width="18.5546875" style="28" customWidth="1"/>
    <col min="3" max="3" width="47.88671875" style="28" hidden="1" customWidth="1"/>
    <col min="4" max="4" width="36" style="222" customWidth="1"/>
    <col min="5" max="5" width="17.109375" style="28" hidden="1" customWidth="1"/>
    <col min="6" max="6" width="23.77734375" style="222" customWidth="1"/>
    <col min="7" max="7" width="16.33203125" style="222" customWidth="1"/>
    <col min="8" max="9" width="13.6640625" style="28" customWidth="1"/>
    <col min="10" max="10" width="13.6640625" style="46" customWidth="1"/>
    <col min="11" max="11" width="18.44140625" style="46" customWidth="1"/>
    <col min="12" max="13" width="12.21875" style="28" hidden="1" customWidth="1"/>
    <col min="14" max="14" width="14.109375" style="28" hidden="1" customWidth="1"/>
    <col min="15" max="15" width="14.6640625" style="28" hidden="1" customWidth="1"/>
    <col min="16" max="16" width="9.109375" style="28" customWidth="1"/>
    <col min="17" max="16384" width="9.109375" style="28"/>
  </cols>
  <sheetData>
    <row r="1" spans="1:15" x14ac:dyDescent="0.3">
      <c r="A1" s="24"/>
      <c r="B1" s="25"/>
      <c r="C1" s="25"/>
      <c r="D1" s="220"/>
      <c r="E1" s="25"/>
      <c r="F1" s="220"/>
      <c r="G1" s="30"/>
      <c r="H1" s="24"/>
      <c r="I1" s="27"/>
      <c r="J1" s="29"/>
      <c r="K1" s="29"/>
    </row>
    <row r="2" spans="1:15" x14ac:dyDescent="0.3">
      <c r="A2" s="24"/>
      <c r="B2" s="25"/>
      <c r="C2" s="25"/>
      <c r="D2" s="220"/>
      <c r="E2" s="25"/>
      <c r="F2" s="220"/>
      <c r="G2" s="30"/>
      <c r="H2" s="30"/>
      <c r="I2" s="31"/>
      <c r="J2" s="31" t="s">
        <v>184</v>
      </c>
      <c r="K2" s="124" t="s">
        <v>186</v>
      </c>
      <c r="N2" s="28" t="s">
        <v>186</v>
      </c>
    </row>
    <row r="3" spans="1:15" x14ac:dyDescent="0.3">
      <c r="A3" s="24"/>
      <c r="B3" s="7"/>
      <c r="C3" s="7"/>
      <c r="D3" s="220"/>
      <c r="E3" s="32"/>
      <c r="F3" s="221"/>
      <c r="G3" s="30"/>
      <c r="H3" s="393" t="s">
        <v>25</v>
      </c>
      <c r="I3" s="392"/>
      <c r="J3" s="392"/>
      <c r="K3" s="122">
        <v>0</v>
      </c>
      <c r="N3" s="28" t="s">
        <v>185</v>
      </c>
    </row>
    <row r="4" spans="1:15" x14ac:dyDescent="0.3">
      <c r="A4" s="24"/>
      <c r="B4" s="7"/>
      <c r="C4" s="7"/>
      <c r="D4" s="220"/>
      <c r="E4" s="32"/>
      <c r="F4" s="221"/>
      <c r="G4" s="30"/>
      <c r="H4" s="29"/>
      <c r="I4" s="29"/>
      <c r="J4" s="29"/>
      <c r="K4" s="33"/>
    </row>
    <row r="5" spans="1:15" s="35" customFormat="1" ht="30" customHeight="1" x14ac:dyDescent="0.25">
      <c r="A5" s="24"/>
      <c r="B5" s="387" t="s">
        <v>521</v>
      </c>
      <c r="C5" s="387"/>
      <c r="D5" s="387" t="s">
        <v>26</v>
      </c>
      <c r="E5" s="391"/>
      <c r="F5" s="180" t="s">
        <v>27</v>
      </c>
      <c r="G5" s="180" t="s">
        <v>28</v>
      </c>
      <c r="H5" s="180" t="s">
        <v>131</v>
      </c>
      <c r="I5" s="180" t="s">
        <v>29</v>
      </c>
      <c r="J5" s="181" t="s">
        <v>188</v>
      </c>
      <c r="K5" s="182" t="s">
        <v>187</v>
      </c>
    </row>
    <row r="6" spans="1:15" s="35" customFormat="1" ht="20.100000000000001" customHeight="1" x14ac:dyDescent="0.25">
      <c r="A6" s="24"/>
      <c r="B6" s="642"/>
      <c r="C6" s="390" t="s">
        <v>2</v>
      </c>
      <c r="D6" s="636" t="s">
        <v>520</v>
      </c>
      <c r="E6" s="645" t="s">
        <v>30</v>
      </c>
      <c r="F6" s="219" t="s">
        <v>277</v>
      </c>
      <c r="G6" s="173" t="s">
        <v>234</v>
      </c>
      <c r="H6" s="639">
        <v>5.4</v>
      </c>
      <c r="I6" s="642" t="s">
        <v>31</v>
      </c>
      <c r="J6" s="162">
        <f>K6-K6*$K$3</f>
        <v>5410.98</v>
      </c>
      <c r="K6" s="161">
        <f t="shared" ref="K6:K37" si="0">IF($K$2=$N$2,N6,O6)</f>
        <v>5410.98</v>
      </c>
      <c r="L6" s="36"/>
      <c r="M6" s="36"/>
      <c r="N6" s="212">
        <v>5410.98</v>
      </c>
      <c r="O6" s="153">
        <f>N6*1.05</f>
        <v>5681.5289999999995</v>
      </c>
    </row>
    <row r="7" spans="1:15" s="35" customFormat="1" ht="20.100000000000001" customHeight="1" x14ac:dyDescent="0.25">
      <c r="A7" s="24"/>
      <c r="B7" s="643"/>
      <c r="C7" s="390" t="s">
        <v>2</v>
      </c>
      <c r="D7" s="637"/>
      <c r="E7" s="645"/>
      <c r="F7" s="219" t="s">
        <v>310</v>
      </c>
      <c r="G7" s="173" t="s">
        <v>132</v>
      </c>
      <c r="H7" s="640"/>
      <c r="I7" s="643"/>
      <c r="J7" s="162">
        <f t="shared" ref="J7:J87" si="1">K7-K7*$K$3</f>
        <v>5840.38</v>
      </c>
      <c r="K7" s="161">
        <f t="shared" si="0"/>
        <v>5840.38</v>
      </c>
      <c r="L7" s="36"/>
      <c r="M7" s="36"/>
      <c r="N7" s="212">
        <v>5840.38</v>
      </c>
      <c r="O7" s="153">
        <f>N7*1.05</f>
        <v>6132.3990000000003</v>
      </c>
    </row>
    <row r="8" spans="1:15" s="35" customFormat="1" ht="20.100000000000001" customHeight="1" x14ac:dyDescent="0.25">
      <c r="A8" s="24"/>
      <c r="B8" s="643"/>
      <c r="C8" s="390" t="s">
        <v>2</v>
      </c>
      <c r="D8" s="637"/>
      <c r="E8" s="645" t="s">
        <v>32</v>
      </c>
      <c r="F8" s="219" t="s">
        <v>298</v>
      </c>
      <c r="G8" s="173" t="s">
        <v>235</v>
      </c>
      <c r="H8" s="640"/>
      <c r="I8" s="643"/>
      <c r="J8" s="162">
        <f t="shared" ref="J8" si="2">K8-K8*$K$3</f>
        <v>6994.45</v>
      </c>
      <c r="K8" s="161">
        <f t="shared" si="0"/>
        <v>6994.45</v>
      </c>
      <c r="L8" s="36"/>
      <c r="M8" s="36"/>
      <c r="N8" s="213">
        <v>6994.45</v>
      </c>
      <c r="O8" s="153">
        <f>N8*1.05</f>
        <v>7344.1724999999997</v>
      </c>
    </row>
    <row r="9" spans="1:15" s="35" customFormat="1" ht="20.100000000000001" customHeight="1" x14ac:dyDescent="0.25">
      <c r="A9" s="24"/>
      <c r="B9" s="643"/>
      <c r="C9" s="390" t="s">
        <v>2</v>
      </c>
      <c r="D9" s="637"/>
      <c r="E9" s="645"/>
      <c r="F9" s="219" t="s">
        <v>283</v>
      </c>
      <c r="G9" s="173" t="s">
        <v>133</v>
      </c>
      <c r="H9" s="640"/>
      <c r="I9" s="643"/>
      <c r="J9" s="162">
        <f t="shared" si="1"/>
        <v>6994.45</v>
      </c>
      <c r="K9" s="161">
        <f t="shared" si="0"/>
        <v>6994.45</v>
      </c>
      <c r="L9" s="36"/>
      <c r="M9" s="36"/>
      <c r="N9" s="154">
        <v>6994.45</v>
      </c>
      <c r="O9" s="165">
        <f t="shared" ref="O9:O18" si="3">N9*1.05</f>
        <v>7344.1724999999997</v>
      </c>
    </row>
    <row r="10" spans="1:15" s="35" customFormat="1" ht="20.100000000000001" customHeight="1" x14ac:dyDescent="0.25">
      <c r="A10" s="24"/>
      <c r="B10" s="643"/>
      <c r="C10" s="390" t="s">
        <v>2</v>
      </c>
      <c r="D10" s="637"/>
      <c r="E10" s="645"/>
      <c r="F10" s="219" t="s">
        <v>288</v>
      </c>
      <c r="G10" s="173" t="s">
        <v>33</v>
      </c>
      <c r="H10" s="640"/>
      <c r="I10" s="643"/>
      <c r="J10" s="162">
        <f t="shared" ref="J10:J11" si="4">K10-K10*$K$3</f>
        <v>6994.45</v>
      </c>
      <c r="K10" s="161">
        <f t="shared" si="0"/>
        <v>6994.45</v>
      </c>
      <c r="L10" s="36"/>
      <c r="M10" s="36"/>
      <c r="N10" s="154">
        <v>6994.45</v>
      </c>
      <c r="O10" s="165">
        <f t="shared" si="3"/>
        <v>7344.1724999999997</v>
      </c>
    </row>
    <row r="11" spans="1:15" s="35" customFormat="1" ht="20.100000000000001" customHeight="1" x14ac:dyDescent="0.25">
      <c r="A11" s="24"/>
      <c r="B11" s="643"/>
      <c r="C11" s="390" t="s">
        <v>2</v>
      </c>
      <c r="D11" s="637"/>
      <c r="E11" s="645"/>
      <c r="F11" s="219" t="s">
        <v>293</v>
      </c>
      <c r="G11" s="173" t="s">
        <v>34</v>
      </c>
      <c r="H11" s="640"/>
      <c r="I11" s="643"/>
      <c r="J11" s="162">
        <f t="shared" si="4"/>
        <v>6994.45</v>
      </c>
      <c r="K11" s="161">
        <f t="shared" si="0"/>
        <v>6994.45</v>
      </c>
      <c r="L11" s="36"/>
      <c r="M11" s="36"/>
      <c r="N11" s="154">
        <v>6994.45</v>
      </c>
      <c r="O11" s="165">
        <f t="shared" si="3"/>
        <v>7344.1724999999997</v>
      </c>
    </row>
    <row r="12" spans="1:15" s="35" customFormat="1" ht="20.100000000000001" customHeight="1" x14ac:dyDescent="0.25">
      <c r="A12" s="24"/>
      <c r="B12" s="643"/>
      <c r="C12" s="390" t="s">
        <v>2</v>
      </c>
      <c r="D12" s="637"/>
      <c r="E12" s="645"/>
      <c r="F12" s="219" t="s">
        <v>302</v>
      </c>
      <c r="G12" s="173" t="s">
        <v>236</v>
      </c>
      <c r="H12" s="640"/>
      <c r="I12" s="643"/>
      <c r="J12" s="162">
        <f t="shared" ref="J12" si="5">K12-K12*$K$3</f>
        <v>6994.45</v>
      </c>
      <c r="K12" s="161">
        <f t="shared" si="0"/>
        <v>6994.45</v>
      </c>
      <c r="L12" s="36"/>
      <c r="M12" s="36"/>
      <c r="N12" s="154">
        <v>6994.45</v>
      </c>
      <c r="O12" s="165">
        <f t="shared" si="3"/>
        <v>7344.1724999999997</v>
      </c>
    </row>
    <row r="13" spans="1:15" s="35" customFormat="1" ht="20.100000000000001" customHeight="1" x14ac:dyDescent="0.25">
      <c r="A13" s="24"/>
      <c r="B13" s="643"/>
      <c r="C13" s="390" t="s">
        <v>2</v>
      </c>
      <c r="D13" s="637"/>
      <c r="E13" s="645"/>
      <c r="F13" s="219" t="s">
        <v>305</v>
      </c>
      <c r="G13" s="173" t="s">
        <v>483</v>
      </c>
      <c r="H13" s="640"/>
      <c r="I13" s="643"/>
      <c r="J13" s="162">
        <f t="shared" ref="J13" si="6">K13-K13*$K$3</f>
        <v>6994.45</v>
      </c>
      <c r="K13" s="161">
        <f t="shared" si="0"/>
        <v>6994.45</v>
      </c>
      <c r="L13" s="36"/>
      <c r="M13" s="36"/>
      <c r="N13" s="154">
        <v>6994.45</v>
      </c>
      <c r="O13" s="165">
        <f t="shared" si="3"/>
        <v>7344.1724999999997</v>
      </c>
    </row>
    <row r="14" spans="1:15" s="35" customFormat="1" ht="20.100000000000001" customHeight="1" x14ac:dyDescent="0.25">
      <c r="A14" s="24"/>
      <c r="B14" s="643"/>
      <c r="C14" s="390" t="s">
        <v>2</v>
      </c>
      <c r="D14" s="637"/>
      <c r="E14" s="385"/>
      <c r="F14" s="219" t="s">
        <v>506</v>
      </c>
      <c r="G14" s="173" t="s">
        <v>481</v>
      </c>
      <c r="H14" s="640"/>
      <c r="I14" s="643"/>
      <c r="J14" s="162">
        <f t="shared" ref="J14:J18" si="7">K14-K14*$K$3</f>
        <v>6994.45</v>
      </c>
      <c r="K14" s="161">
        <f t="shared" si="0"/>
        <v>6994.45</v>
      </c>
      <c r="L14" s="36"/>
      <c r="M14" s="36"/>
      <c r="N14" s="163">
        <v>6994.45</v>
      </c>
      <c r="O14" s="166">
        <f t="shared" si="3"/>
        <v>7344.1724999999997</v>
      </c>
    </row>
    <row r="15" spans="1:15" s="35" customFormat="1" ht="20.100000000000001" customHeight="1" x14ac:dyDescent="0.25">
      <c r="A15" s="24"/>
      <c r="B15" s="643"/>
      <c r="C15" s="390" t="s">
        <v>2</v>
      </c>
      <c r="D15" s="637"/>
      <c r="E15" s="385"/>
      <c r="F15" s="219" t="s">
        <v>487</v>
      </c>
      <c r="G15" s="173" t="s">
        <v>478</v>
      </c>
      <c r="H15" s="640"/>
      <c r="I15" s="643"/>
      <c r="J15" s="162">
        <f t="shared" si="7"/>
        <v>6994.45</v>
      </c>
      <c r="K15" s="161">
        <f t="shared" si="0"/>
        <v>6994.45</v>
      </c>
      <c r="L15" s="36"/>
      <c r="M15" s="36"/>
      <c r="N15" s="163">
        <v>6994.45</v>
      </c>
      <c r="O15" s="166">
        <f t="shared" si="3"/>
        <v>7344.1724999999997</v>
      </c>
    </row>
    <row r="16" spans="1:15" s="35" customFormat="1" ht="20.100000000000001" customHeight="1" x14ac:dyDescent="0.25">
      <c r="A16" s="24"/>
      <c r="B16" s="643"/>
      <c r="C16" s="390" t="s">
        <v>2</v>
      </c>
      <c r="D16" s="637"/>
      <c r="E16" s="385"/>
      <c r="F16" s="219" t="s">
        <v>501</v>
      </c>
      <c r="G16" s="173" t="s">
        <v>482</v>
      </c>
      <c r="H16" s="640"/>
      <c r="I16" s="643"/>
      <c r="J16" s="162">
        <f t="shared" si="7"/>
        <v>6994.45</v>
      </c>
      <c r="K16" s="161">
        <f t="shared" si="0"/>
        <v>6994.45</v>
      </c>
      <c r="L16" s="36"/>
      <c r="M16" s="36"/>
      <c r="N16" s="163">
        <v>6994.45</v>
      </c>
      <c r="O16" s="166">
        <f t="shared" si="3"/>
        <v>7344.1724999999997</v>
      </c>
    </row>
    <row r="17" spans="1:15" s="35" customFormat="1" ht="20.100000000000001" customHeight="1" x14ac:dyDescent="0.25">
      <c r="A17" s="24"/>
      <c r="B17" s="643"/>
      <c r="C17" s="390" t="s">
        <v>2</v>
      </c>
      <c r="D17" s="637"/>
      <c r="E17" s="385"/>
      <c r="F17" s="219" t="s">
        <v>497</v>
      </c>
      <c r="G17" s="173" t="s">
        <v>480</v>
      </c>
      <c r="H17" s="640"/>
      <c r="I17" s="643"/>
      <c r="J17" s="162">
        <f t="shared" si="7"/>
        <v>6994.45</v>
      </c>
      <c r="K17" s="161">
        <f t="shared" si="0"/>
        <v>6994.45</v>
      </c>
      <c r="L17" s="36"/>
      <c r="M17" s="36"/>
      <c r="N17" s="163">
        <v>6994.45</v>
      </c>
      <c r="O17" s="166">
        <f t="shared" si="3"/>
        <v>7344.1724999999997</v>
      </c>
    </row>
    <row r="18" spans="1:15" s="35" customFormat="1" ht="20.100000000000001" customHeight="1" x14ac:dyDescent="0.25">
      <c r="A18" s="24"/>
      <c r="B18" s="644"/>
      <c r="C18" s="390" t="s">
        <v>2</v>
      </c>
      <c r="D18" s="638"/>
      <c r="E18" s="385"/>
      <c r="F18" s="219" t="s">
        <v>493</v>
      </c>
      <c r="G18" s="173" t="s">
        <v>479</v>
      </c>
      <c r="H18" s="641"/>
      <c r="I18" s="644"/>
      <c r="J18" s="162">
        <f t="shared" si="7"/>
        <v>6994.45</v>
      </c>
      <c r="K18" s="161">
        <f t="shared" si="0"/>
        <v>6994.45</v>
      </c>
      <c r="L18" s="36"/>
      <c r="M18" s="36"/>
      <c r="N18" s="163">
        <v>6994.45</v>
      </c>
      <c r="O18" s="166">
        <f t="shared" si="3"/>
        <v>7344.1724999999997</v>
      </c>
    </row>
    <row r="19" spans="1:15" s="35" customFormat="1" ht="20.100000000000001" customHeight="1" x14ac:dyDescent="0.25">
      <c r="A19" s="24"/>
      <c r="B19" s="642"/>
      <c r="C19" s="390" t="s">
        <v>5</v>
      </c>
      <c r="D19" s="636" t="s">
        <v>134</v>
      </c>
      <c r="E19" s="645" t="s">
        <v>35</v>
      </c>
      <c r="F19" s="219" t="s">
        <v>275</v>
      </c>
      <c r="G19" s="173" t="s">
        <v>234</v>
      </c>
      <c r="H19" s="639">
        <v>5.0750000000000002</v>
      </c>
      <c r="I19" s="642" t="s">
        <v>31</v>
      </c>
      <c r="J19" s="162">
        <f t="shared" si="1"/>
        <v>1892.95</v>
      </c>
      <c r="K19" s="161">
        <f t="shared" si="0"/>
        <v>1892.95</v>
      </c>
      <c r="L19" s="36"/>
      <c r="M19" s="36"/>
      <c r="N19" s="212">
        <v>1892.95</v>
      </c>
      <c r="O19" s="153">
        <f>N19*1.05</f>
        <v>1987.5975000000001</v>
      </c>
    </row>
    <row r="20" spans="1:15" s="35" customFormat="1" ht="20.100000000000001" customHeight="1" x14ac:dyDescent="0.25">
      <c r="A20" s="24"/>
      <c r="B20" s="643"/>
      <c r="C20" s="390" t="s">
        <v>5</v>
      </c>
      <c r="D20" s="637"/>
      <c r="E20" s="645"/>
      <c r="F20" s="219" t="s">
        <v>309</v>
      </c>
      <c r="G20" s="173" t="s">
        <v>132</v>
      </c>
      <c r="H20" s="640"/>
      <c r="I20" s="643"/>
      <c r="J20" s="162">
        <f t="shared" si="1"/>
        <v>2043.16</v>
      </c>
      <c r="K20" s="161">
        <f t="shared" si="0"/>
        <v>2043.16</v>
      </c>
      <c r="L20" s="36"/>
      <c r="M20" s="36"/>
      <c r="N20" s="213">
        <v>2043.16</v>
      </c>
      <c r="O20" s="153">
        <f>N20*1.05</f>
        <v>2145.3180000000002</v>
      </c>
    </row>
    <row r="21" spans="1:15" s="35" customFormat="1" ht="20.100000000000001" customHeight="1" x14ac:dyDescent="0.25">
      <c r="A21" s="24"/>
      <c r="B21" s="643"/>
      <c r="C21" s="390" t="s">
        <v>5</v>
      </c>
      <c r="D21" s="637"/>
      <c r="E21" s="645" t="s">
        <v>36</v>
      </c>
      <c r="F21" s="219" t="s">
        <v>297</v>
      </c>
      <c r="G21" s="173" t="s">
        <v>235</v>
      </c>
      <c r="H21" s="640"/>
      <c r="I21" s="643"/>
      <c r="J21" s="162">
        <f t="shared" ref="J21" si="8">K21-K21*$K$3</f>
        <v>2251.71</v>
      </c>
      <c r="K21" s="161">
        <f t="shared" si="0"/>
        <v>2251.71</v>
      </c>
      <c r="L21" s="36"/>
      <c r="M21" s="36"/>
      <c r="N21" s="212">
        <v>2251.71</v>
      </c>
      <c r="O21" s="153">
        <f>N21*1.05</f>
        <v>2364.2955000000002</v>
      </c>
    </row>
    <row r="22" spans="1:15" s="35" customFormat="1" ht="20.100000000000001" customHeight="1" x14ac:dyDescent="0.25">
      <c r="A22" s="24"/>
      <c r="B22" s="643"/>
      <c r="C22" s="390" t="s">
        <v>5</v>
      </c>
      <c r="D22" s="637"/>
      <c r="E22" s="645"/>
      <c r="F22" s="219" t="s">
        <v>282</v>
      </c>
      <c r="G22" s="173" t="s">
        <v>133</v>
      </c>
      <c r="H22" s="640"/>
      <c r="I22" s="643"/>
      <c r="J22" s="162">
        <f t="shared" si="1"/>
        <v>2251.71</v>
      </c>
      <c r="K22" s="161">
        <f t="shared" si="0"/>
        <v>2251.71</v>
      </c>
      <c r="L22" s="36"/>
      <c r="M22" s="36"/>
      <c r="N22" s="217">
        <v>2251.71</v>
      </c>
      <c r="O22" s="166">
        <f t="shared" ref="O22:O87" si="9">N22*1.05</f>
        <v>2364.2955000000002</v>
      </c>
    </row>
    <row r="23" spans="1:15" s="35" customFormat="1" ht="20.100000000000001" customHeight="1" x14ac:dyDescent="0.25">
      <c r="A23" s="24"/>
      <c r="B23" s="643"/>
      <c r="C23" s="390" t="s">
        <v>5</v>
      </c>
      <c r="D23" s="637"/>
      <c r="E23" s="645"/>
      <c r="F23" s="219" t="s">
        <v>287</v>
      </c>
      <c r="G23" s="173" t="s">
        <v>33</v>
      </c>
      <c r="H23" s="640"/>
      <c r="I23" s="643"/>
      <c r="J23" s="162">
        <f t="shared" ref="J23:J26" si="10">K23-K23*$K$3</f>
        <v>2251.71</v>
      </c>
      <c r="K23" s="161">
        <f t="shared" si="0"/>
        <v>2251.71</v>
      </c>
      <c r="L23" s="36"/>
      <c r="M23" s="36"/>
      <c r="N23" s="217">
        <v>2251.71</v>
      </c>
      <c r="O23" s="166">
        <f t="shared" ref="O23:O31" si="11">N23*1.05</f>
        <v>2364.2955000000002</v>
      </c>
    </row>
    <row r="24" spans="1:15" s="35" customFormat="1" ht="20.100000000000001" customHeight="1" x14ac:dyDescent="0.25">
      <c r="A24" s="24"/>
      <c r="B24" s="643"/>
      <c r="C24" s="390" t="s">
        <v>5</v>
      </c>
      <c r="D24" s="637"/>
      <c r="E24" s="645"/>
      <c r="F24" s="219" t="s">
        <v>292</v>
      </c>
      <c r="G24" s="173" t="s">
        <v>34</v>
      </c>
      <c r="H24" s="640"/>
      <c r="I24" s="643"/>
      <c r="J24" s="162">
        <f t="shared" si="10"/>
        <v>2251.71</v>
      </c>
      <c r="K24" s="161">
        <f t="shared" si="0"/>
        <v>2251.71</v>
      </c>
      <c r="L24" s="36"/>
      <c r="M24" s="36"/>
      <c r="N24" s="217">
        <v>2251.71</v>
      </c>
      <c r="O24" s="166">
        <f t="shared" si="11"/>
        <v>2364.2955000000002</v>
      </c>
    </row>
    <row r="25" spans="1:15" s="35" customFormat="1" ht="20.100000000000001" customHeight="1" x14ac:dyDescent="0.25">
      <c r="A25" s="24"/>
      <c r="B25" s="643"/>
      <c r="C25" s="390" t="s">
        <v>5</v>
      </c>
      <c r="D25" s="637"/>
      <c r="E25" s="645"/>
      <c r="F25" s="219" t="s">
        <v>301</v>
      </c>
      <c r="G25" s="173" t="s">
        <v>236</v>
      </c>
      <c r="H25" s="640"/>
      <c r="I25" s="643"/>
      <c r="J25" s="162">
        <f t="shared" si="10"/>
        <v>2251.71</v>
      </c>
      <c r="K25" s="161">
        <f t="shared" si="0"/>
        <v>2251.71</v>
      </c>
      <c r="L25" s="36"/>
      <c r="M25" s="36"/>
      <c r="N25" s="217">
        <v>2251.71</v>
      </c>
      <c r="O25" s="166">
        <f t="shared" si="11"/>
        <v>2364.2955000000002</v>
      </c>
    </row>
    <row r="26" spans="1:15" s="35" customFormat="1" ht="20.100000000000001" customHeight="1" x14ac:dyDescent="0.25">
      <c r="A26" s="24"/>
      <c r="B26" s="643"/>
      <c r="C26" s="390" t="s">
        <v>5</v>
      </c>
      <c r="D26" s="637"/>
      <c r="E26" s="645"/>
      <c r="F26" s="219" t="s">
        <v>304</v>
      </c>
      <c r="G26" s="173" t="s">
        <v>483</v>
      </c>
      <c r="H26" s="640"/>
      <c r="I26" s="643"/>
      <c r="J26" s="162">
        <f t="shared" si="10"/>
        <v>2251.71</v>
      </c>
      <c r="K26" s="161">
        <f t="shared" si="0"/>
        <v>2251.71</v>
      </c>
      <c r="L26" s="36"/>
      <c r="M26" s="36"/>
      <c r="N26" s="217">
        <v>2251.71</v>
      </c>
      <c r="O26" s="166">
        <f t="shared" si="11"/>
        <v>2364.2955000000002</v>
      </c>
    </row>
    <row r="27" spans="1:15" s="35" customFormat="1" ht="20.100000000000001" customHeight="1" x14ac:dyDescent="0.25">
      <c r="A27" s="24"/>
      <c r="B27" s="643"/>
      <c r="C27" s="390" t="s">
        <v>5</v>
      </c>
      <c r="D27" s="637"/>
      <c r="E27" s="385"/>
      <c r="F27" s="219" t="s">
        <v>505</v>
      </c>
      <c r="G27" s="173" t="s">
        <v>481</v>
      </c>
      <c r="H27" s="640"/>
      <c r="I27" s="643"/>
      <c r="J27" s="162">
        <f t="shared" ref="J27:J31" si="12">K27-K27*$K$3</f>
        <v>2251.71</v>
      </c>
      <c r="K27" s="161">
        <f t="shared" si="0"/>
        <v>2251.71</v>
      </c>
      <c r="L27" s="36"/>
      <c r="M27" s="36"/>
      <c r="N27" s="217">
        <v>2251.71</v>
      </c>
      <c r="O27" s="166">
        <f t="shared" si="11"/>
        <v>2364.2955000000002</v>
      </c>
    </row>
    <row r="28" spans="1:15" s="35" customFormat="1" ht="20.100000000000001" customHeight="1" x14ac:dyDescent="0.25">
      <c r="A28" s="24"/>
      <c r="B28" s="643"/>
      <c r="C28" s="390" t="s">
        <v>5</v>
      </c>
      <c r="D28" s="637"/>
      <c r="E28" s="385"/>
      <c r="F28" s="219" t="s">
        <v>486</v>
      </c>
      <c r="G28" s="173" t="s">
        <v>478</v>
      </c>
      <c r="H28" s="640"/>
      <c r="I28" s="643"/>
      <c r="J28" s="162">
        <f t="shared" si="12"/>
        <v>2251.71</v>
      </c>
      <c r="K28" s="161">
        <f t="shared" si="0"/>
        <v>2251.71</v>
      </c>
      <c r="L28" s="36"/>
      <c r="M28" s="36"/>
      <c r="N28" s="217">
        <v>2251.71</v>
      </c>
      <c r="O28" s="166">
        <f t="shared" si="11"/>
        <v>2364.2955000000002</v>
      </c>
    </row>
    <row r="29" spans="1:15" s="35" customFormat="1" ht="20.100000000000001" customHeight="1" x14ac:dyDescent="0.25">
      <c r="A29" s="24"/>
      <c r="B29" s="643"/>
      <c r="C29" s="390" t="s">
        <v>5</v>
      </c>
      <c r="D29" s="637"/>
      <c r="E29" s="385"/>
      <c r="F29" s="219" t="s">
        <v>500</v>
      </c>
      <c r="G29" s="173" t="s">
        <v>482</v>
      </c>
      <c r="H29" s="640"/>
      <c r="I29" s="643"/>
      <c r="J29" s="162">
        <f t="shared" si="12"/>
        <v>2251.71</v>
      </c>
      <c r="K29" s="161">
        <f t="shared" si="0"/>
        <v>2251.71</v>
      </c>
      <c r="L29" s="36"/>
      <c r="M29" s="36"/>
      <c r="N29" s="217">
        <v>2251.71</v>
      </c>
      <c r="O29" s="166">
        <f t="shared" si="11"/>
        <v>2364.2955000000002</v>
      </c>
    </row>
    <row r="30" spans="1:15" s="35" customFormat="1" ht="20.100000000000001" customHeight="1" x14ac:dyDescent="0.25">
      <c r="A30" s="24"/>
      <c r="B30" s="643"/>
      <c r="C30" s="390" t="s">
        <v>5</v>
      </c>
      <c r="D30" s="637"/>
      <c r="E30" s="385"/>
      <c r="F30" s="219" t="s">
        <v>496</v>
      </c>
      <c r="G30" s="173" t="s">
        <v>480</v>
      </c>
      <c r="H30" s="640"/>
      <c r="I30" s="643"/>
      <c r="J30" s="162">
        <f t="shared" si="12"/>
        <v>2251.71</v>
      </c>
      <c r="K30" s="161">
        <f t="shared" si="0"/>
        <v>2251.71</v>
      </c>
      <c r="L30" s="36"/>
      <c r="M30" s="36"/>
      <c r="N30" s="217">
        <v>2251.71</v>
      </c>
      <c r="O30" s="166">
        <f t="shared" si="11"/>
        <v>2364.2955000000002</v>
      </c>
    </row>
    <row r="31" spans="1:15" s="35" customFormat="1" ht="20.100000000000001" customHeight="1" x14ac:dyDescent="0.25">
      <c r="A31" s="24"/>
      <c r="B31" s="644"/>
      <c r="C31" s="390" t="s">
        <v>5</v>
      </c>
      <c r="D31" s="638"/>
      <c r="E31" s="385"/>
      <c r="F31" s="219" t="s">
        <v>492</v>
      </c>
      <c r="G31" s="173" t="s">
        <v>479</v>
      </c>
      <c r="H31" s="641"/>
      <c r="I31" s="644"/>
      <c r="J31" s="162">
        <f t="shared" si="12"/>
        <v>2251.71</v>
      </c>
      <c r="K31" s="161">
        <f t="shared" si="0"/>
        <v>2251.71</v>
      </c>
      <c r="L31" s="36"/>
      <c r="M31" s="36"/>
      <c r="N31" s="217">
        <v>2251.71</v>
      </c>
      <c r="O31" s="166">
        <f t="shared" si="11"/>
        <v>2364.2955000000002</v>
      </c>
    </row>
    <row r="32" spans="1:15" s="35" customFormat="1" ht="20.100000000000001" customHeight="1" x14ac:dyDescent="0.25">
      <c r="A32" s="24"/>
      <c r="B32" s="646"/>
      <c r="C32" s="386" t="s">
        <v>4</v>
      </c>
      <c r="D32" s="647" t="s">
        <v>135</v>
      </c>
      <c r="E32" s="645" t="s">
        <v>30</v>
      </c>
      <c r="F32" s="219" t="s">
        <v>276</v>
      </c>
      <c r="G32" s="173" t="s">
        <v>234</v>
      </c>
      <c r="H32" s="648">
        <v>5</v>
      </c>
      <c r="I32" s="646" t="s">
        <v>31</v>
      </c>
      <c r="J32" s="162">
        <f t="shared" si="1"/>
        <v>5816.07</v>
      </c>
      <c r="K32" s="161">
        <f t="shared" si="0"/>
        <v>5816.07</v>
      </c>
      <c r="L32" s="36"/>
      <c r="M32" s="36"/>
      <c r="N32" s="212">
        <v>5816.07</v>
      </c>
      <c r="O32" s="153">
        <f t="shared" si="9"/>
        <v>6106.8734999999997</v>
      </c>
    </row>
    <row r="33" spans="1:15" s="35" customFormat="1" ht="20.100000000000001" customHeight="1" x14ac:dyDescent="0.25">
      <c r="A33" s="24"/>
      <c r="B33" s="646"/>
      <c r="C33" s="386" t="s">
        <v>4</v>
      </c>
      <c r="D33" s="647"/>
      <c r="E33" s="645"/>
      <c r="F33" s="219" t="s">
        <v>423</v>
      </c>
      <c r="G33" s="173" t="s">
        <v>132</v>
      </c>
      <c r="H33" s="648"/>
      <c r="I33" s="646"/>
      <c r="J33" s="162">
        <f t="shared" si="1"/>
        <v>6096.53</v>
      </c>
      <c r="K33" s="161">
        <f t="shared" si="0"/>
        <v>6096.53</v>
      </c>
      <c r="L33" s="36"/>
      <c r="M33" s="36"/>
      <c r="N33" s="212">
        <v>6096.53</v>
      </c>
      <c r="O33" s="153">
        <f t="shared" si="9"/>
        <v>6401.3564999999999</v>
      </c>
    </row>
    <row r="34" spans="1:15" s="35" customFormat="1" ht="20.100000000000001" customHeight="1" x14ac:dyDescent="0.25">
      <c r="A34" s="24"/>
      <c r="B34" s="646"/>
      <c r="C34" s="386" t="s">
        <v>17</v>
      </c>
      <c r="D34" s="647" t="s">
        <v>332</v>
      </c>
      <c r="E34" s="645" t="s">
        <v>30</v>
      </c>
      <c r="F34" s="219" t="s">
        <v>278</v>
      </c>
      <c r="G34" s="173" t="s">
        <v>234</v>
      </c>
      <c r="H34" s="648">
        <v>5.4</v>
      </c>
      <c r="I34" s="646" t="s">
        <v>31</v>
      </c>
      <c r="J34" s="162">
        <f t="shared" si="1"/>
        <v>1331.09</v>
      </c>
      <c r="K34" s="161">
        <f t="shared" si="0"/>
        <v>1331.09</v>
      </c>
      <c r="L34" s="36"/>
      <c r="M34" s="36"/>
      <c r="N34" s="212">
        <v>1331.09</v>
      </c>
      <c r="O34" s="153">
        <f t="shared" si="9"/>
        <v>1397.6444999999999</v>
      </c>
    </row>
    <row r="35" spans="1:15" s="35" customFormat="1" ht="20.100000000000001" customHeight="1" x14ac:dyDescent="0.25">
      <c r="A35" s="24"/>
      <c r="B35" s="646"/>
      <c r="C35" s="386" t="s">
        <v>17</v>
      </c>
      <c r="D35" s="647"/>
      <c r="E35" s="645"/>
      <c r="F35" s="219" t="s">
        <v>311</v>
      </c>
      <c r="G35" s="173" t="s">
        <v>132</v>
      </c>
      <c r="H35" s="648"/>
      <c r="I35" s="646"/>
      <c r="J35" s="174">
        <f t="shared" si="1"/>
        <v>1440.37</v>
      </c>
      <c r="K35" s="161">
        <f t="shared" si="0"/>
        <v>1440.37</v>
      </c>
      <c r="L35" s="36"/>
      <c r="M35" s="36"/>
      <c r="N35" s="212">
        <v>1440.37</v>
      </c>
      <c r="O35" s="153">
        <f t="shared" si="9"/>
        <v>1512.3885</v>
      </c>
    </row>
    <row r="36" spans="1:15" s="35" customFormat="1" ht="20.100000000000001" customHeight="1" x14ac:dyDescent="0.25">
      <c r="A36" s="24"/>
      <c r="B36" s="646"/>
      <c r="C36" s="386" t="s">
        <v>17</v>
      </c>
      <c r="D36" s="647"/>
      <c r="E36" s="645"/>
      <c r="F36" s="219" t="s">
        <v>284</v>
      </c>
      <c r="G36" s="173" t="s">
        <v>133</v>
      </c>
      <c r="H36" s="648"/>
      <c r="I36" s="646"/>
      <c r="J36" s="174">
        <f t="shared" si="1"/>
        <v>1515.05</v>
      </c>
      <c r="K36" s="161">
        <f t="shared" si="0"/>
        <v>1515.05</v>
      </c>
      <c r="L36" s="36"/>
      <c r="M36" s="36"/>
      <c r="N36" s="213">
        <v>1515.05</v>
      </c>
      <c r="O36" s="153">
        <f t="shared" si="9"/>
        <v>1590.8025</v>
      </c>
    </row>
    <row r="37" spans="1:15" s="35" customFormat="1" ht="20.100000000000001" customHeight="1" x14ac:dyDescent="0.25">
      <c r="A37" s="24"/>
      <c r="B37" s="646"/>
      <c r="C37" s="386" t="s">
        <v>3</v>
      </c>
      <c r="D37" s="647" t="s">
        <v>37</v>
      </c>
      <c r="E37" s="645" t="s">
        <v>30</v>
      </c>
      <c r="F37" s="219" t="s">
        <v>280</v>
      </c>
      <c r="G37" s="173" t="s">
        <v>234</v>
      </c>
      <c r="H37" s="648">
        <v>5</v>
      </c>
      <c r="I37" s="646" t="s">
        <v>31</v>
      </c>
      <c r="J37" s="162">
        <f t="shared" si="1"/>
        <v>3267.15</v>
      </c>
      <c r="K37" s="161">
        <f t="shared" si="0"/>
        <v>3267.15</v>
      </c>
      <c r="L37" s="36"/>
      <c r="M37" s="36"/>
      <c r="N37" s="212">
        <v>3267.15</v>
      </c>
      <c r="O37" s="153">
        <f t="shared" si="9"/>
        <v>3430.5075000000002</v>
      </c>
    </row>
    <row r="38" spans="1:15" s="35" customFormat="1" ht="20.100000000000001" customHeight="1" x14ac:dyDescent="0.25">
      <c r="A38" s="24"/>
      <c r="B38" s="646"/>
      <c r="C38" s="386" t="s">
        <v>3</v>
      </c>
      <c r="D38" s="647"/>
      <c r="E38" s="645"/>
      <c r="F38" s="219" t="s">
        <v>313</v>
      </c>
      <c r="G38" s="173" t="s">
        <v>132</v>
      </c>
      <c r="H38" s="648"/>
      <c r="I38" s="646"/>
      <c r="J38" s="162">
        <f t="shared" si="1"/>
        <v>3524.86</v>
      </c>
      <c r="K38" s="161">
        <f t="shared" ref="K38:K69" si="13">IF($K$2=$N$2,N38,O38)</f>
        <v>3524.86</v>
      </c>
      <c r="L38" s="36"/>
      <c r="M38" s="36"/>
      <c r="N38" s="212">
        <v>3524.86</v>
      </c>
      <c r="O38" s="153">
        <f t="shared" si="9"/>
        <v>3701.1030000000001</v>
      </c>
    </row>
    <row r="39" spans="1:15" s="35" customFormat="1" ht="20.100000000000001" customHeight="1" x14ac:dyDescent="0.25">
      <c r="A39" s="24"/>
      <c r="B39" s="646"/>
      <c r="C39" s="386" t="s">
        <v>3</v>
      </c>
      <c r="D39" s="647"/>
      <c r="E39" s="645" t="s">
        <v>32</v>
      </c>
      <c r="F39" s="219" t="s">
        <v>299</v>
      </c>
      <c r="G39" s="173" t="s">
        <v>235</v>
      </c>
      <c r="H39" s="648"/>
      <c r="I39" s="646"/>
      <c r="J39" s="162">
        <f t="shared" si="1"/>
        <v>4500.87</v>
      </c>
      <c r="K39" s="161">
        <f t="shared" si="13"/>
        <v>4500.87</v>
      </c>
      <c r="L39" s="36"/>
      <c r="M39" s="36"/>
      <c r="N39" s="213">
        <v>4500.87</v>
      </c>
      <c r="O39" s="153">
        <f t="shared" si="9"/>
        <v>4725.9134999999997</v>
      </c>
    </row>
    <row r="40" spans="1:15" s="35" customFormat="1" ht="20.100000000000001" customHeight="1" x14ac:dyDescent="0.25">
      <c r="A40" s="24"/>
      <c r="B40" s="646"/>
      <c r="C40" s="386" t="s">
        <v>3</v>
      </c>
      <c r="D40" s="647"/>
      <c r="E40" s="645"/>
      <c r="F40" s="219" t="s">
        <v>491</v>
      </c>
      <c r="G40" s="173" t="s">
        <v>133</v>
      </c>
      <c r="H40" s="648"/>
      <c r="I40" s="646"/>
      <c r="J40" s="162">
        <f t="shared" si="1"/>
        <v>4500.87</v>
      </c>
      <c r="K40" s="161">
        <f t="shared" si="13"/>
        <v>4500.87</v>
      </c>
      <c r="L40" s="36"/>
      <c r="M40" s="36"/>
      <c r="N40" s="217">
        <v>4500.87</v>
      </c>
      <c r="O40" s="166">
        <f t="shared" si="9"/>
        <v>4725.9134999999997</v>
      </c>
    </row>
    <row r="41" spans="1:15" s="35" customFormat="1" ht="20.100000000000001" customHeight="1" x14ac:dyDescent="0.25">
      <c r="A41" s="24"/>
      <c r="B41" s="646"/>
      <c r="C41" s="386" t="s">
        <v>3</v>
      </c>
      <c r="D41" s="647"/>
      <c r="E41" s="645"/>
      <c r="F41" s="219" t="s">
        <v>290</v>
      </c>
      <c r="G41" s="173" t="s">
        <v>33</v>
      </c>
      <c r="H41" s="648"/>
      <c r="I41" s="646"/>
      <c r="J41" s="162">
        <f t="shared" ref="J41:J43" si="14">K41-K41*$K$3</f>
        <v>4500.87</v>
      </c>
      <c r="K41" s="161">
        <f t="shared" si="13"/>
        <v>4500.87</v>
      </c>
      <c r="L41" s="36"/>
      <c r="M41" s="36"/>
      <c r="N41" s="217">
        <v>4500.87</v>
      </c>
      <c r="O41" s="166">
        <f t="shared" ref="O41:O43" si="15">N41*1.05</f>
        <v>4725.9134999999997</v>
      </c>
    </row>
    <row r="42" spans="1:15" s="35" customFormat="1" ht="20.100000000000001" customHeight="1" x14ac:dyDescent="0.25">
      <c r="A42" s="24"/>
      <c r="B42" s="646"/>
      <c r="C42" s="386" t="s">
        <v>3</v>
      </c>
      <c r="D42" s="647"/>
      <c r="E42" s="645"/>
      <c r="F42" s="219" t="s">
        <v>295</v>
      </c>
      <c r="G42" s="173" t="s">
        <v>34</v>
      </c>
      <c r="H42" s="648"/>
      <c r="I42" s="646"/>
      <c r="J42" s="162">
        <f t="shared" si="14"/>
        <v>4500.87</v>
      </c>
      <c r="K42" s="161">
        <f t="shared" si="13"/>
        <v>4500.87</v>
      </c>
      <c r="L42" s="36"/>
      <c r="M42" s="36"/>
      <c r="N42" s="217">
        <v>4500.87</v>
      </c>
      <c r="O42" s="166">
        <f t="shared" si="15"/>
        <v>4725.9134999999997</v>
      </c>
    </row>
    <row r="43" spans="1:15" s="35" customFormat="1" ht="20.100000000000001" customHeight="1" x14ac:dyDescent="0.25">
      <c r="A43" s="24"/>
      <c r="B43" s="646"/>
      <c r="C43" s="386" t="s">
        <v>3</v>
      </c>
      <c r="D43" s="647"/>
      <c r="E43" s="645"/>
      <c r="F43" s="219" t="s">
        <v>484</v>
      </c>
      <c r="G43" s="173" t="s">
        <v>236</v>
      </c>
      <c r="H43" s="648"/>
      <c r="I43" s="646"/>
      <c r="J43" s="162">
        <f t="shared" si="14"/>
        <v>4500.87</v>
      </c>
      <c r="K43" s="161">
        <f t="shared" si="13"/>
        <v>4500.87</v>
      </c>
      <c r="L43" s="36"/>
      <c r="M43" s="36"/>
      <c r="N43" s="217">
        <v>4500.87</v>
      </c>
      <c r="O43" s="166">
        <f t="shared" si="15"/>
        <v>4725.9134999999997</v>
      </c>
    </row>
    <row r="44" spans="1:15" s="35" customFormat="1" ht="20.100000000000001" customHeight="1" x14ac:dyDescent="0.25">
      <c r="A44" s="24"/>
      <c r="B44" s="646"/>
      <c r="C44" s="386" t="s">
        <v>3</v>
      </c>
      <c r="D44" s="647"/>
      <c r="E44" s="645"/>
      <c r="F44" s="219" t="s">
        <v>307</v>
      </c>
      <c r="G44" s="173" t="s">
        <v>483</v>
      </c>
      <c r="H44" s="648"/>
      <c r="I44" s="646"/>
      <c r="J44" s="162">
        <f>K44-K44*$K$3</f>
        <v>4500.87</v>
      </c>
      <c r="K44" s="161">
        <f t="shared" si="13"/>
        <v>4500.87</v>
      </c>
      <c r="L44" s="36"/>
      <c r="M44" s="36"/>
      <c r="N44" s="217">
        <v>4500.87</v>
      </c>
      <c r="O44" s="166">
        <f>N44*1.05</f>
        <v>4725.9134999999997</v>
      </c>
    </row>
    <row r="45" spans="1:15" s="35" customFormat="1" ht="20.100000000000001" customHeight="1" x14ac:dyDescent="0.25">
      <c r="A45" s="24"/>
      <c r="B45" s="646"/>
      <c r="C45" s="386" t="s">
        <v>3</v>
      </c>
      <c r="D45" s="647"/>
      <c r="E45" s="645"/>
      <c r="F45" s="219" t="s">
        <v>507</v>
      </c>
      <c r="G45" s="173" t="s">
        <v>481</v>
      </c>
      <c r="H45" s="648"/>
      <c r="I45" s="646"/>
      <c r="J45" s="162">
        <f t="shared" ref="J45:J49" si="16">K45-K45*$K$3</f>
        <v>4500.87</v>
      </c>
      <c r="K45" s="161">
        <f t="shared" si="13"/>
        <v>4500.87</v>
      </c>
      <c r="L45" s="36"/>
      <c r="M45" s="36"/>
      <c r="N45" s="217">
        <v>4500.87</v>
      </c>
      <c r="O45" s="166">
        <f t="shared" ref="O45:O49" si="17">N45*1.05</f>
        <v>4725.9134999999997</v>
      </c>
    </row>
    <row r="46" spans="1:15" s="35" customFormat="1" ht="20.100000000000001" customHeight="1" x14ac:dyDescent="0.25">
      <c r="A46" s="24"/>
      <c r="B46" s="646"/>
      <c r="C46" s="386" t="s">
        <v>3</v>
      </c>
      <c r="D46" s="647"/>
      <c r="E46" s="645"/>
      <c r="F46" s="219" t="s">
        <v>489</v>
      </c>
      <c r="G46" s="173" t="s">
        <v>478</v>
      </c>
      <c r="H46" s="648"/>
      <c r="I46" s="646"/>
      <c r="J46" s="162">
        <f t="shared" si="16"/>
        <v>4500.87</v>
      </c>
      <c r="K46" s="161">
        <f t="shared" si="13"/>
        <v>4500.87</v>
      </c>
      <c r="L46" s="36"/>
      <c r="M46" s="36"/>
      <c r="N46" s="217">
        <v>4500.87</v>
      </c>
      <c r="O46" s="166">
        <f t="shared" si="17"/>
        <v>4725.9134999999997</v>
      </c>
    </row>
    <row r="47" spans="1:15" s="35" customFormat="1" ht="20.100000000000001" customHeight="1" x14ac:dyDescent="0.25">
      <c r="A47" s="24"/>
      <c r="B47" s="646"/>
      <c r="C47" s="386" t="s">
        <v>3</v>
      </c>
      <c r="D47" s="647"/>
      <c r="E47" s="645"/>
      <c r="F47" s="219" t="s">
        <v>503</v>
      </c>
      <c r="G47" s="173" t="s">
        <v>482</v>
      </c>
      <c r="H47" s="648"/>
      <c r="I47" s="646"/>
      <c r="J47" s="162">
        <f t="shared" si="16"/>
        <v>4500.87</v>
      </c>
      <c r="K47" s="161">
        <f t="shared" si="13"/>
        <v>4500.87</v>
      </c>
      <c r="L47" s="36"/>
      <c r="M47" s="36"/>
      <c r="N47" s="217">
        <v>4500.87</v>
      </c>
      <c r="O47" s="166">
        <f t="shared" si="17"/>
        <v>4725.9134999999997</v>
      </c>
    </row>
    <row r="48" spans="1:15" s="35" customFormat="1" ht="20.100000000000001" customHeight="1" x14ac:dyDescent="0.25">
      <c r="A48" s="24"/>
      <c r="B48" s="646"/>
      <c r="C48" s="386" t="s">
        <v>3</v>
      </c>
      <c r="D48" s="647"/>
      <c r="E48" s="645"/>
      <c r="F48" s="219" t="s">
        <v>498</v>
      </c>
      <c r="G48" s="173" t="s">
        <v>480</v>
      </c>
      <c r="H48" s="648"/>
      <c r="I48" s="646"/>
      <c r="J48" s="162">
        <f t="shared" si="16"/>
        <v>4500.87</v>
      </c>
      <c r="K48" s="161">
        <f t="shared" si="13"/>
        <v>4500.87</v>
      </c>
      <c r="L48" s="36"/>
      <c r="M48" s="36"/>
      <c r="N48" s="217">
        <v>4500.87</v>
      </c>
      <c r="O48" s="166">
        <f t="shared" si="17"/>
        <v>4725.9134999999997</v>
      </c>
    </row>
    <row r="49" spans="1:15" s="35" customFormat="1" ht="20.100000000000001" customHeight="1" x14ac:dyDescent="0.25">
      <c r="A49" s="24"/>
      <c r="B49" s="646"/>
      <c r="C49" s="386" t="s">
        <v>3</v>
      </c>
      <c r="D49" s="647"/>
      <c r="E49" s="645"/>
      <c r="F49" s="389" t="s">
        <v>494</v>
      </c>
      <c r="G49" s="173" t="s">
        <v>479</v>
      </c>
      <c r="H49" s="648"/>
      <c r="I49" s="646"/>
      <c r="J49" s="162">
        <f t="shared" si="16"/>
        <v>4500.87</v>
      </c>
      <c r="K49" s="161">
        <f t="shared" si="13"/>
        <v>4500.87</v>
      </c>
      <c r="L49" s="36"/>
      <c r="M49" s="36"/>
      <c r="N49" s="389">
        <v>4500.87</v>
      </c>
      <c r="O49" s="166">
        <f t="shared" si="17"/>
        <v>4725.9134999999997</v>
      </c>
    </row>
    <row r="50" spans="1:15" s="35" customFormat="1" ht="20.100000000000001" customHeight="1" x14ac:dyDescent="0.25">
      <c r="A50" s="24"/>
      <c r="B50" s="646"/>
      <c r="C50" s="386" t="s">
        <v>459</v>
      </c>
      <c r="D50" s="647" t="s">
        <v>246</v>
      </c>
      <c r="E50" s="645" t="s">
        <v>30</v>
      </c>
      <c r="F50" s="219" t="s">
        <v>281</v>
      </c>
      <c r="G50" s="173" t="s">
        <v>234</v>
      </c>
      <c r="H50" s="648">
        <v>5</v>
      </c>
      <c r="I50" s="646" t="s">
        <v>31</v>
      </c>
      <c r="J50" s="162">
        <f t="shared" si="1"/>
        <v>3828.23</v>
      </c>
      <c r="K50" s="161">
        <f t="shared" si="13"/>
        <v>3828.23</v>
      </c>
      <c r="L50" s="36"/>
      <c r="M50" s="36"/>
      <c r="N50" s="212">
        <v>3828.23</v>
      </c>
      <c r="O50" s="153">
        <f t="shared" si="9"/>
        <v>4019.6415000000002</v>
      </c>
    </row>
    <row r="51" spans="1:15" s="35" customFormat="1" ht="20.100000000000001" customHeight="1" x14ac:dyDescent="0.25">
      <c r="A51" s="24"/>
      <c r="B51" s="646"/>
      <c r="C51" s="386" t="s">
        <v>459</v>
      </c>
      <c r="D51" s="647"/>
      <c r="E51" s="645"/>
      <c r="F51" s="219" t="s">
        <v>314</v>
      </c>
      <c r="G51" s="173" t="s">
        <v>132</v>
      </c>
      <c r="H51" s="648"/>
      <c r="I51" s="646"/>
      <c r="J51" s="162">
        <f t="shared" si="1"/>
        <v>4119.82</v>
      </c>
      <c r="K51" s="161">
        <f t="shared" si="13"/>
        <v>4119.82</v>
      </c>
      <c r="L51" s="36"/>
      <c r="M51" s="36"/>
      <c r="N51" s="212">
        <v>4119.82</v>
      </c>
      <c r="O51" s="153">
        <f t="shared" si="9"/>
        <v>4325.8109999999997</v>
      </c>
    </row>
    <row r="52" spans="1:15" s="35" customFormat="1" ht="20.100000000000001" customHeight="1" x14ac:dyDescent="0.25">
      <c r="A52" s="24"/>
      <c r="B52" s="646"/>
      <c r="C52" s="386" t="s">
        <v>459</v>
      </c>
      <c r="D52" s="647"/>
      <c r="E52" s="645" t="s">
        <v>32</v>
      </c>
      <c r="F52" s="219" t="s">
        <v>300</v>
      </c>
      <c r="G52" s="173" t="s">
        <v>235</v>
      </c>
      <c r="H52" s="648"/>
      <c r="I52" s="646"/>
      <c r="J52" s="162">
        <f t="shared" ref="J52" si="18">K52-K52*$K$3</f>
        <v>5512.44</v>
      </c>
      <c r="K52" s="161">
        <f t="shared" si="13"/>
        <v>5512.44</v>
      </c>
      <c r="L52" s="36"/>
      <c r="M52" s="36"/>
      <c r="N52" s="213">
        <v>5512.44</v>
      </c>
      <c r="O52" s="153">
        <f t="shared" si="9"/>
        <v>5788.0619999999999</v>
      </c>
    </row>
    <row r="53" spans="1:15" s="35" customFormat="1" ht="20.100000000000001" customHeight="1" x14ac:dyDescent="0.25">
      <c r="A53" s="24"/>
      <c r="B53" s="646"/>
      <c r="C53" s="386" t="s">
        <v>459</v>
      </c>
      <c r="D53" s="647"/>
      <c r="E53" s="645"/>
      <c r="F53" s="219" t="s">
        <v>286</v>
      </c>
      <c r="G53" s="173" t="s">
        <v>133</v>
      </c>
      <c r="H53" s="648"/>
      <c r="I53" s="646"/>
      <c r="J53" s="162">
        <f t="shared" si="1"/>
        <v>5512.44</v>
      </c>
      <c r="K53" s="161">
        <f t="shared" si="13"/>
        <v>5512.44</v>
      </c>
      <c r="L53" s="36"/>
      <c r="M53" s="36"/>
      <c r="N53" s="217">
        <v>5512.44</v>
      </c>
      <c r="O53" s="166">
        <f t="shared" si="9"/>
        <v>5788.0619999999999</v>
      </c>
    </row>
    <row r="54" spans="1:15" s="35" customFormat="1" ht="20.100000000000001" customHeight="1" x14ac:dyDescent="0.25">
      <c r="A54" s="24"/>
      <c r="B54" s="646"/>
      <c r="C54" s="386" t="s">
        <v>459</v>
      </c>
      <c r="D54" s="647"/>
      <c r="E54" s="645"/>
      <c r="F54" s="219" t="s">
        <v>291</v>
      </c>
      <c r="G54" s="173" t="s">
        <v>33</v>
      </c>
      <c r="H54" s="648"/>
      <c r="I54" s="646"/>
      <c r="J54" s="162">
        <f t="shared" ref="J54:J56" si="19">K54-K54*$K$3</f>
        <v>5512.44</v>
      </c>
      <c r="K54" s="161">
        <f t="shared" si="13"/>
        <v>5512.44</v>
      </c>
      <c r="L54" s="36"/>
      <c r="M54" s="36"/>
      <c r="N54" s="217">
        <v>5512.44</v>
      </c>
      <c r="O54" s="166">
        <f t="shared" ref="O54:O56" si="20">N54*1.05</f>
        <v>5788.0619999999999</v>
      </c>
    </row>
    <row r="55" spans="1:15" s="35" customFormat="1" ht="20.100000000000001" customHeight="1" x14ac:dyDescent="0.25">
      <c r="A55" s="24"/>
      <c r="B55" s="646"/>
      <c r="C55" s="386" t="s">
        <v>459</v>
      </c>
      <c r="D55" s="647"/>
      <c r="E55" s="645"/>
      <c r="F55" s="219" t="s">
        <v>296</v>
      </c>
      <c r="G55" s="173" t="s">
        <v>34</v>
      </c>
      <c r="H55" s="648"/>
      <c r="I55" s="646"/>
      <c r="J55" s="162">
        <f t="shared" si="19"/>
        <v>5512.44</v>
      </c>
      <c r="K55" s="161">
        <f t="shared" si="13"/>
        <v>5512.44</v>
      </c>
      <c r="L55" s="36"/>
      <c r="M55" s="36"/>
      <c r="N55" s="217">
        <v>5512.44</v>
      </c>
      <c r="O55" s="166">
        <f t="shared" si="20"/>
        <v>5788.0619999999999</v>
      </c>
    </row>
    <row r="56" spans="1:15" s="35" customFormat="1" ht="20.100000000000001" customHeight="1" x14ac:dyDescent="0.25">
      <c r="A56" s="24"/>
      <c r="B56" s="646"/>
      <c r="C56" s="386" t="s">
        <v>459</v>
      </c>
      <c r="D56" s="647"/>
      <c r="E56" s="645"/>
      <c r="F56" s="219" t="s">
        <v>485</v>
      </c>
      <c r="G56" s="173" t="s">
        <v>236</v>
      </c>
      <c r="H56" s="648"/>
      <c r="I56" s="646"/>
      <c r="J56" s="162">
        <f t="shared" si="19"/>
        <v>5512.44</v>
      </c>
      <c r="K56" s="161">
        <f t="shared" si="13"/>
        <v>5512.44</v>
      </c>
      <c r="L56" s="36"/>
      <c r="M56" s="36"/>
      <c r="N56" s="217">
        <v>5512.44</v>
      </c>
      <c r="O56" s="166">
        <f t="shared" si="20"/>
        <v>5788.0619999999999</v>
      </c>
    </row>
    <row r="57" spans="1:15" s="35" customFormat="1" ht="20.100000000000001" customHeight="1" x14ac:dyDescent="0.25">
      <c r="A57" s="24"/>
      <c r="B57" s="646"/>
      <c r="C57" s="386" t="s">
        <v>459</v>
      </c>
      <c r="D57" s="647"/>
      <c r="E57" s="645"/>
      <c r="F57" s="219" t="s">
        <v>308</v>
      </c>
      <c r="G57" s="173" t="s">
        <v>483</v>
      </c>
      <c r="H57" s="648"/>
      <c r="I57" s="646"/>
      <c r="J57" s="162">
        <f>K57-K57*$K$3</f>
        <v>5512.44</v>
      </c>
      <c r="K57" s="161">
        <f t="shared" si="13"/>
        <v>5512.44</v>
      </c>
      <c r="L57" s="36"/>
      <c r="M57" s="36"/>
      <c r="N57" s="217">
        <v>5512.44</v>
      </c>
      <c r="O57" s="166">
        <f>N57*1.05</f>
        <v>5788.0619999999999</v>
      </c>
    </row>
    <row r="58" spans="1:15" s="35" customFormat="1" ht="20.100000000000001" customHeight="1" x14ac:dyDescent="0.25">
      <c r="A58" s="24"/>
      <c r="B58" s="646"/>
      <c r="C58" s="386" t="s">
        <v>459</v>
      </c>
      <c r="D58" s="647"/>
      <c r="E58" s="645"/>
      <c r="F58" s="219" t="s">
        <v>508</v>
      </c>
      <c r="G58" s="173" t="s">
        <v>481</v>
      </c>
      <c r="H58" s="648"/>
      <c r="I58" s="646"/>
      <c r="J58" s="162">
        <f t="shared" ref="J58:J62" si="21">K58-K58*$K$3</f>
        <v>5512.44</v>
      </c>
      <c r="K58" s="161">
        <f t="shared" si="13"/>
        <v>5512.44</v>
      </c>
      <c r="L58" s="36"/>
      <c r="M58" s="36"/>
      <c r="N58" s="217">
        <v>5512.44</v>
      </c>
      <c r="O58" s="166">
        <f t="shared" ref="O58:O62" si="22">N58*1.05</f>
        <v>5788.0619999999999</v>
      </c>
    </row>
    <row r="59" spans="1:15" s="35" customFormat="1" ht="20.100000000000001" customHeight="1" x14ac:dyDescent="0.25">
      <c r="A59" s="24"/>
      <c r="B59" s="646"/>
      <c r="C59" s="386" t="s">
        <v>459</v>
      </c>
      <c r="D59" s="647"/>
      <c r="E59" s="645"/>
      <c r="F59" s="219" t="s">
        <v>490</v>
      </c>
      <c r="G59" s="173" t="s">
        <v>478</v>
      </c>
      <c r="H59" s="648"/>
      <c r="I59" s="646"/>
      <c r="J59" s="162">
        <f t="shared" si="21"/>
        <v>5512.44</v>
      </c>
      <c r="K59" s="161">
        <f t="shared" si="13"/>
        <v>5512.44</v>
      </c>
      <c r="L59" s="36"/>
      <c r="M59" s="36"/>
      <c r="N59" s="217">
        <v>5512.44</v>
      </c>
      <c r="O59" s="166">
        <f t="shared" si="22"/>
        <v>5788.0619999999999</v>
      </c>
    </row>
    <row r="60" spans="1:15" s="35" customFormat="1" ht="20.100000000000001" customHeight="1" x14ac:dyDescent="0.25">
      <c r="A60" s="24"/>
      <c r="B60" s="646"/>
      <c r="C60" s="386" t="s">
        <v>459</v>
      </c>
      <c r="D60" s="647"/>
      <c r="E60" s="645"/>
      <c r="F60" s="219" t="s">
        <v>504</v>
      </c>
      <c r="G60" s="173" t="s">
        <v>482</v>
      </c>
      <c r="H60" s="648"/>
      <c r="I60" s="646"/>
      <c r="J60" s="162">
        <f t="shared" si="21"/>
        <v>5512.44</v>
      </c>
      <c r="K60" s="161">
        <f t="shared" si="13"/>
        <v>5512.44</v>
      </c>
      <c r="L60" s="36"/>
      <c r="M60" s="36"/>
      <c r="N60" s="217">
        <v>5512.44</v>
      </c>
      <c r="O60" s="166">
        <f t="shared" si="22"/>
        <v>5788.0619999999999</v>
      </c>
    </row>
    <row r="61" spans="1:15" s="35" customFormat="1" ht="20.100000000000001" customHeight="1" x14ac:dyDescent="0.25">
      <c r="A61" s="24"/>
      <c r="B61" s="646"/>
      <c r="C61" s="386" t="s">
        <v>459</v>
      </c>
      <c r="D61" s="647"/>
      <c r="E61" s="645"/>
      <c r="F61" s="219" t="s">
        <v>499</v>
      </c>
      <c r="G61" s="173" t="s">
        <v>480</v>
      </c>
      <c r="H61" s="648"/>
      <c r="I61" s="646"/>
      <c r="J61" s="162">
        <f t="shared" si="21"/>
        <v>5512.44</v>
      </c>
      <c r="K61" s="161">
        <f t="shared" si="13"/>
        <v>5512.44</v>
      </c>
      <c r="L61" s="36"/>
      <c r="M61" s="36"/>
      <c r="N61" s="217">
        <v>5512.44</v>
      </c>
      <c r="O61" s="166">
        <f t="shared" si="22"/>
        <v>5788.0619999999999</v>
      </c>
    </row>
    <row r="62" spans="1:15" s="35" customFormat="1" ht="20.100000000000001" customHeight="1" x14ac:dyDescent="0.25">
      <c r="A62" s="24"/>
      <c r="B62" s="646"/>
      <c r="C62" s="386" t="s">
        <v>459</v>
      </c>
      <c r="D62" s="647"/>
      <c r="E62" s="645"/>
      <c r="F62" s="389" t="s">
        <v>495</v>
      </c>
      <c r="G62" s="173" t="s">
        <v>479</v>
      </c>
      <c r="H62" s="648"/>
      <c r="I62" s="646"/>
      <c r="J62" s="162">
        <f t="shared" si="21"/>
        <v>5512.44</v>
      </c>
      <c r="K62" s="161">
        <f t="shared" si="13"/>
        <v>5512.44</v>
      </c>
      <c r="L62" s="36"/>
      <c r="M62" s="36"/>
      <c r="N62" s="389">
        <v>5512.44</v>
      </c>
      <c r="O62" s="166">
        <f t="shared" si="22"/>
        <v>5788.0619999999999</v>
      </c>
    </row>
    <row r="63" spans="1:15" s="35" customFormat="1" ht="20.100000000000001" customHeight="1" x14ac:dyDescent="0.25">
      <c r="A63" s="24"/>
      <c r="B63" s="646"/>
      <c r="C63" s="386" t="s">
        <v>455</v>
      </c>
      <c r="D63" s="647" t="s">
        <v>38</v>
      </c>
      <c r="E63" s="645" t="s">
        <v>30</v>
      </c>
      <c r="F63" s="219" t="s">
        <v>279</v>
      </c>
      <c r="G63" s="173" t="s">
        <v>234</v>
      </c>
      <c r="H63" s="648">
        <v>5.4</v>
      </c>
      <c r="I63" s="646" t="s">
        <v>31</v>
      </c>
      <c r="J63" s="162">
        <f t="shared" si="1"/>
        <v>3191.28</v>
      </c>
      <c r="K63" s="163">
        <f t="shared" si="13"/>
        <v>3191.28</v>
      </c>
      <c r="L63" s="36"/>
      <c r="M63" s="36"/>
      <c r="N63" s="212">
        <v>3191.28</v>
      </c>
      <c r="O63" s="153">
        <f t="shared" si="9"/>
        <v>3350.8440000000005</v>
      </c>
    </row>
    <row r="64" spans="1:15" s="35" customFormat="1" ht="20.100000000000001" customHeight="1" x14ac:dyDescent="0.25">
      <c r="A64" s="24"/>
      <c r="B64" s="646"/>
      <c r="C64" s="386" t="s">
        <v>455</v>
      </c>
      <c r="D64" s="647"/>
      <c r="E64" s="645"/>
      <c r="F64" s="219" t="s">
        <v>312</v>
      </c>
      <c r="G64" s="173" t="s">
        <v>132</v>
      </c>
      <c r="H64" s="648"/>
      <c r="I64" s="646"/>
      <c r="J64" s="162">
        <f t="shared" si="1"/>
        <v>3452.93</v>
      </c>
      <c r="K64" s="163">
        <f t="shared" si="13"/>
        <v>3452.93</v>
      </c>
      <c r="L64" s="36"/>
      <c r="M64" s="36"/>
      <c r="N64" s="212">
        <v>3452.93</v>
      </c>
      <c r="O64" s="153">
        <f t="shared" si="9"/>
        <v>3625.5765000000001</v>
      </c>
    </row>
    <row r="65" spans="1:15" s="35" customFormat="1" ht="20.100000000000001" customHeight="1" x14ac:dyDescent="0.25">
      <c r="A65" s="24"/>
      <c r="B65" s="646"/>
      <c r="C65" s="386" t="s">
        <v>455</v>
      </c>
      <c r="D65" s="647"/>
      <c r="E65" s="645"/>
      <c r="F65" s="219" t="s">
        <v>285</v>
      </c>
      <c r="G65" s="173" t="s">
        <v>133</v>
      </c>
      <c r="H65" s="648"/>
      <c r="I65" s="646"/>
      <c r="J65" s="162">
        <f t="shared" si="1"/>
        <v>5031.88</v>
      </c>
      <c r="K65" s="163">
        <f t="shared" si="13"/>
        <v>5031.88</v>
      </c>
      <c r="L65" s="36"/>
      <c r="M65" s="36"/>
      <c r="N65" s="217">
        <v>5031.88</v>
      </c>
      <c r="O65" s="166">
        <f t="shared" si="9"/>
        <v>5283.4740000000002</v>
      </c>
    </row>
    <row r="66" spans="1:15" s="35" customFormat="1" ht="20.100000000000001" customHeight="1" x14ac:dyDescent="0.25">
      <c r="A66" s="24"/>
      <c r="B66" s="646"/>
      <c r="C66" s="386" t="s">
        <v>455</v>
      </c>
      <c r="D66" s="647"/>
      <c r="E66" s="645"/>
      <c r="F66" s="219" t="s">
        <v>289</v>
      </c>
      <c r="G66" s="173" t="s">
        <v>33</v>
      </c>
      <c r="H66" s="648"/>
      <c r="I66" s="646"/>
      <c r="J66" s="162">
        <f t="shared" ref="J66:J68" si="23">K66-K66*$K$3</f>
        <v>5031.88</v>
      </c>
      <c r="K66" s="163">
        <f t="shared" si="13"/>
        <v>5031.88</v>
      </c>
      <c r="L66" s="36"/>
      <c r="M66" s="36"/>
      <c r="N66" s="217">
        <v>5031.88</v>
      </c>
      <c r="O66" s="166">
        <f t="shared" ref="O66:O68" si="24">N66*1.05</f>
        <v>5283.4740000000002</v>
      </c>
    </row>
    <row r="67" spans="1:15" s="35" customFormat="1" ht="20.100000000000001" customHeight="1" x14ac:dyDescent="0.25">
      <c r="A67" s="24"/>
      <c r="B67" s="646"/>
      <c r="C67" s="386" t="s">
        <v>455</v>
      </c>
      <c r="D67" s="647"/>
      <c r="E67" s="645"/>
      <c r="F67" s="219" t="s">
        <v>294</v>
      </c>
      <c r="G67" s="173" t="s">
        <v>34</v>
      </c>
      <c r="H67" s="648"/>
      <c r="I67" s="646"/>
      <c r="J67" s="162">
        <f t="shared" si="23"/>
        <v>5031.88</v>
      </c>
      <c r="K67" s="163">
        <f t="shared" si="13"/>
        <v>5031.88</v>
      </c>
      <c r="L67" s="36"/>
      <c r="M67" s="36"/>
      <c r="N67" s="217">
        <v>5031.88</v>
      </c>
      <c r="O67" s="166">
        <f t="shared" si="24"/>
        <v>5283.4740000000002</v>
      </c>
    </row>
    <row r="68" spans="1:15" s="35" customFormat="1" ht="20.100000000000001" customHeight="1" x14ac:dyDescent="0.25">
      <c r="A68" s="24"/>
      <c r="B68" s="646"/>
      <c r="C68" s="386" t="s">
        <v>455</v>
      </c>
      <c r="D68" s="647"/>
      <c r="E68" s="645"/>
      <c r="F68" s="219" t="s">
        <v>303</v>
      </c>
      <c r="G68" s="173" t="s">
        <v>236</v>
      </c>
      <c r="H68" s="648"/>
      <c r="I68" s="646"/>
      <c r="J68" s="162">
        <f t="shared" si="23"/>
        <v>5031.88</v>
      </c>
      <c r="K68" s="163">
        <f t="shared" si="13"/>
        <v>5031.88</v>
      </c>
      <c r="L68" s="36"/>
      <c r="M68" s="36"/>
      <c r="N68" s="217">
        <v>5031.88</v>
      </c>
      <c r="O68" s="166">
        <f t="shared" si="24"/>
        <v>5283.4740000000002</v>
      </c>
    </row>
    <row r="69" spans="1:15" s="35" customFormat="1" ht="20.100000000000001" customHeight="1" x14ac:dyDescent="0.25">
      <c r="A69" s="24"/>
      <c r="B69" s="646"/>
      <c r="C69" s="386" t="s">
        <v>455</v>
      </c>
      <c r="D69" s="647"/>
      <c r="E69" s="645"/>
      <c r="F69" s="219" t="s">
        <v>306</v>
      </c>
      <c r="G69" s="173" t="s">
        <v>483</v>
      </c>
      <c r="H69" s="648"/>
      <c r="I69" s="646"/>
      <c r="J69" s="162">
        <f>K69-K69*$K$3</f>
        <v>5031.88</v>
      </c>
      <c r="K69" s="163">
        <f t="shared" si="13"/>
        <v>5031.88</v>
      </c>
      <c r="L69" s="36"/>
      <c r="M69" s="36"/>
      <c r="N69" s="217">
        <v>5031.88</v>
      </c>
      <c r="O69" s="166">
        <f>N69*1.05</f>
        <v>5283.4740000000002</v>
      </c>
    </row>
    <row r="70" spans="1:15" s="35" customFormat="1" ht="20.100000000000001" customHeight="1" x14ac:dyDescent="0.25">
      <c r="A70" s="24"/>
      <c r="B70" s="646"/>
      <c r="C70" s="386" t="s">
        <v>455</v>
      </c>
      <c r="D70" s="647"/>
      <c r="E70" s="645"/>
      <c r="F70" s="219" t="s">
        <v>488</v>
      </c>
      <c r="G70" s="173" t="s">
        <v>478</v>
      </c>
      <c r="H70" s="648"/>
      <c r="I70" s="646"/>
      <c r="J70" s="162">
        <f t="shared" ref="J70:J71" si="25">K70-K70*$K$3</f>
        <v>5031.88</v>
      </c>
      <c r="K70" s="163">
        <f t="shared" ref="K70:K98" si="26">IF($K$2=$N$2,N70,O70)</f>
        <v>5031.88</v>
      </c>
      <c r="L70" s="36"/>
      <c r="M70" s="36"/>
      <c r="N70" s="217">
        <v>5031.88</v>
      </c>
      <c r="O70" s="166">
        <f t="shared" ref="O70:O71" si="27">N70*1.05</f>
        <v>5283.4740000000002</v>
      </c>
    </row>
    <row r="71" spans="1:15" s="35" customFormat="1" ht="20.100000000000001" customHeight="1" x14ac:dyDescent="0.25">
      <c r="A71" s="24"/>
      <c r="B71" s="646"/>
      <c r="C71" s="386" t="s">
        <v>455</v>
      </c>
      <c r="D71" s="647"/>
      <c r="E71" s="645"/>
      <c r="F71" s="219" t="s">
        <v>502</v>
      </c>
      <c r="G71" s="173" t="s">
        <v>482</v>
      </c>
      <c r="H71" s="648"/>
      <c r="I71" s="646"/>
      <c r="J71" s="162">
        <f t="shared" si="25"/>
        <v>5031.88</v>
      </c>
      <c r="K71" s="163">
        <f t="shared" si="26"/>
        <v>5031.88</v>
      </c>
      <c r="L71" s="36"/>
      <c r="M71" s="36"/>
      <c r="N71" s="217">
        <v>5031.88</v>
      </c>
      <c r="O71" s="166">
        <f t="shared" si="27"/>
        <v>5283.4740000000002</v>
      </c>
    </row>
    <row r="72" spans="1:15" s="35" customFormat="1" ht="20.100000000000001" customHeight="1" x14ac:dyDescent="0.25">
      <c r="A72" s="24"/>
      <c r="B72" s="642"/>
      <c r="C72" s="390" t="s">
        <v>519</v>
      </c>
      <c r="D72" s="636" t="s">
        <v>333</v>
      </c>
      <c r="E72" s="645" t="s">
        <v>30</v>
      </c>
      <c r="F72" s="219" t="s">
        <v>317</v>
      </c>
      <c r="G72" s="173" t="s">
        <v>234</v>
      </c>
      <c r="H72" s="639">
        <v>5.4</v>
      </c>
      <c r="I72" s="642" t="s">
        <v>31</v>
      </c>
      <c r="J72" s="162">
        <f t="shared" si="1"/>
        <v>3483.76</v>
      </c>
      <c r="K72" s="161">
        <f t="shared" si="26"/>
        <v>3483.76</v>
      </c>
      <c r="L72" s="36"/>
      <c r="M72" s="36"/>
      <c r="N72" s="212">
        <v>3483.76</v>
      </c>
      <c r="O72" s="153">
        <f>N72*1.05</f>
        <v>3657.9480000000003</v>
      </c>
    </row>
    <row r="73" spans="1:15" s="35" customFormat="1" ht="20.100000000000001" customHeight="1" x14ac:dyDescent="0.25">
      <c r="A73" s="24"/>
      <c r="B73" s="643"/>
      <c r="C73" s="390" t="s">
        <v>519</v>
      </c>
      <c r="D73" s="637"/>
      <c r="E73" s="645"/>
      <c r="F73" s="219" t="s">
        <v>319</v>
      </c>
      <c r="G73" s="173" t="s">
        <v>132</v>
      </c>
      <c r="H73" s="640"/>
      <c r="I73" s="643"/>
      <c r="J73" s="162">
        <f t="shared" ref="J73:J74" si="28">K73-K73*$K$3</f>
        <v>3513.5</v>
      </c>
      <c r="K73" s="161">
        <f t="shared" si="26"/>
        <v>3513.5</v>
      </c>
      <c r="L73" s="36"/>
      <c r="M73" s="36"/>
      <c r="N73" s="212">
        <v>3513.5</v>
      </c>
      <c r="O73" s="153">
        <f t="shared" ref="O73:O74" si="29">N73*1.05</f>
        <v>3689.1750000000002</v>
      </c>
    </row>
    <row r="74" spans="1:15" s="35" customFormat="1" ht="20.100000000000001" customHeight="1" x14ac:dyDescent="0.25">
      <c r="A74" s="24"/>
      <c r="B74" s="643"/>
      <c r="C74" s="390" t="s">
        <v>519</v>
      </c>
      <c r="D74" s="637"/>
      <c r="E74" s="645"/>
      <c r="F74" s="219" t="s">
        <v>330</v>
      </c>
      <c r="G74" s="173" t="s">
        <v>235</v>
      </c>
      <c r="H74" s="640"/>
      <c r="I74" s="643"/>
      <c r="J74" s="162">
        <f t="shared" si="28"/>
        <v>4643.7299999999996</v>
      </c>
      <c r="K74" s="161">
        <f t="shared" si="26"/>
        <v>4643.7299999999996</v>
      </c>
      <c r="L74" s="36"/>
      <c r="M74" s="36"/>
      <c r="N74" s="213">
        <v>4643.7299999999996</v>
      </c>
      <c r="O74" s="153">
        <f t="shared" si="29"/>
        <v>4875.9164999999994</v>
      </c>
    </row>
    <row r="75" spans="1:15" s="35" customFormat="1" ht="20.100000000000001" customHeight="1" x14ac:dyDescent="0.25">
      <c r="A75" s="24"/>
      <c r="B75" s="643"/>
      <c r="C75" s="390" t="s">
        <v>519</v>
      </c>
      <c r="D75" s="637"/>
      <c r="E75" s="645"/>
      <c r="F75" s="219" t="s">
        <v>322</v>
      </c>
      <c r="G75" s="173" t="s">
        <v>133</v>
      </c>
      <c r="H75" s="640"/>
      <c r="I75" s="643"/>
      <c r="J75" s="162">
        <f t="shared" si="1"/>
        <v>4643.7299999999996</v>
      </c>
      <c r="K75" s="161">
        <f t="shared" si="26"/>
        <v>4643.7299999999996</v>
      </c>
      <c r="L75" s="36"/>
      <c r="M75" s="36"/>
      <c r="N75" s="218">
        <v>4643.7299999999996</v>
      </c>
      <c r="O75" s="166">
        <f t="shared" si="9"/>
        <v>4875.9164999999994</v>
      </c>
    </row>
    <row r="76" spans="1:15" s="35" customFormat="1" ht="20.100000000000001" customHeight="1" x14ac:dyDescent="0.25">
      <c r="A76" s="24"/>
      <c r="B76" s="643"/>
      <c r="C76" s="390" t="s">
        <v>519</v>
      </c>
      <c r="D76" s="637"/>
      <c r="E76" s="645"/>
      <c r="F76" s="219" t="s">
        <v>324</v>
      </c>
      <c r="G76" s="173" t="s">
        <v>33</v>
      </c>
      <c r="H76" s="640"/>
      <c r="I76" s="643"/>
      <c r="J76" s="162">
        <f t="shared" ref="J76:J79" si="30">K76-K76*$K$3</f>
        <v>4643.7299999999996</v>
      </c>
      <c r="K76" s="161">
        <f t="shared" si="26"/>
        <v>4643.7299999999996</v>
      </c>
      <c r="L76" s="36"/>
      <c r="M76" s="36"/>
      <c r="N76" s="218">
        <v>4643.7299999999996</v>
      </c>
      <c r="O76" s="166">
        <f t="shared" ref="O76:O84" si="31">N76*1.05</f>
        <v>4875.9164999999994</v>
      </c>
    </row>
    <row r="77" spans="1:15" s="35" customFormat="1" ht="20.100000000000001" customHeight="1" x14ac:dyDescent="0.25">
      <c r="A77" s="24"/>
      <c r="B77" s="643"/>
      <c r="C77" s="390" t="s">
        <v>519</v>
      </c>
      <c r="D77" s="637"/>
      <c r="E77" s="645"/>
      <c r="F77" s="219" t="s">
        <v>328</v>
      </c>
      <c r="G77" s="173" t="s">
        <v>34</v>
      </c>
      <c r="H77" s="640"/>
      <c r="I77" s="643"/>
      <c r="J77" s="162">
        <f t="shared" si="30"/>
        <v>4643.7299999999996</v>
      </c>
      <c r="K77" s="161">
        <f t="shared" si="26"/>
        <v>4643.7299999999996</v>
      </c>
      <c r="L77" s="36"/>
      <c r="M77" s="36"/>
      <c r="N77" s="218">
        <v>4643.7299999999996</v>
      </c>
      <c r="O77" s="166">
        <f t="shared" si="31"/>
        <v>4875.9164999999994</v>
      </c>
    </row>
    <row r="78" spans="1:15" s="35" customFormat="1" ht="20.100000000000001" customHeight="1" x14ac:dyDescent="0.25">
      <c r="A78" s="24"/>
      <c r="B78" s="643"/>
      <c r="C78" s="390" t="s">
        <v>519</v>
      </c>
      <c r="D78" s="637"/>
      <c r="E78" s="645"/>
      <c r="F78" s="219" t="s">
        <v>320</v>
      </c>
      <c r="G78" s="173" t="s">
        <v>236</v>
      </c>
      <c r="H78" s="640"/>
      <c r="I78" s="643"/>
      <c r="J78" s="162">
        <f t="shared" si="30"/>
        <v>4643.7299999999996</v>
      </c>
      <c r="K78" s="161">
        <f t="shared" si="26"/>
        <v>4643.7299999999996</v>
      </c>
      <c r="L78" s="36"/>
      <c r="M78" s="36"/>
      <c r="N78" s="218">
        <v>4643.7299999999996</v>
      </c>
      <c r="O78" s="166">
        <f t="shared" si="31"/>
        <v>4875.9164999999994</v>
      </c>
    </row>
    <row r="79" spans="1:15" s="35" customFormat="1" ht="20.100000000000001" customHeight="1" x14ac:dyDescent="0.25">
      <c r="A79" s="24"/>
      <c r="B79" s="643"/>
      <c r="C79" s="390" t="s">
        <v>519</v>
      </c>
      <c r="D79" s="637"/>
      <c r="E79" s="645"/>
      <c r="F79" s="219" t="s">
        <v>326</v>
      </c>
      <c r="G79" s="173" t="s">
        <v>483</v>
      </c>
      <c r="H79" s="640"/>
      <c r="I79" s="643"/>
      <c r="J79" s="162">
        <f t="shared" si="30"/>
        <v>4643.7299999999996</v>
      </c>
      <c r="K79" s="161">
        <f t="shared" si="26"/>
        <v>4643.7299999999996</v>
      </c>
      <c r="L79" s="36"/>
      <c r="M79" s="36"/>
      <c r="N79" s="218">
        <v>4643.7299999999996</v>
      </c>
      <c r="O79" s="166">
        <f t="shared" si="31"/>
        <v>4875.9164999999994</v>
      </c>
    </row>
    <row r="80" spans="1:15" s="35" customFormat="1" ht="20.100000000000001" customHeight="1" x14ac:dyDescent="0.25">
      <c r="A80" s="24"/>
      <c r="B80" s="643"/>
      <c r="C80" s="390" t="s">
        <v>519</v>
      </c>
      <c r="D80" s="637"/>
      <c r="E80" s="385"/>
      <c r="F80" s="219" t="s">
        <v>517</v>
      </c>
      <c r="G80" s="173" t="s">
        <v>481</v>
      </c>
      <c r="H80" s="640"/>
      <c r="I80" s="643"/>
      <c r="J80" s="162">
        <f t="shared" ref="J80:J84" si="32">K80-K80*$K$3</f>
        <v>3530.11</v>
      </c>
      <c r="K80" s="161">
        <f t="shared" si="26"/>
        <v>3530.11</v>
      </c>
      <c r="L80" s="36"/>
      <c r="M80" s="36"/>
      <c r="N80" s="218">
        <v>3530.11</v>
      </c>
      <c r="O80" s="166">
        <f t="shared" si="31"/>
        <v>3706.6155000000003</v>
      </c>
    </row>
    <row r="81" spans="1:15" s="35" customFormat="1" ht="20.100000000000001" customHeight="1" x14ac:dyDescent="0.25">
      <c r="A81" s="24"/>
      <c r="B81" s="643"/>
      <c r="C81" s="390" t="s">
        <v>519</v>
      </c>
      <c r="D81" s="637"/>
      <c r="E81" s="385"/>
      <c r="F81" s="219" t="s">
        <v>509</v>
      </c>
      <c r="G81" s="173" t="s">
        <v>478</v>
      </c>
      <c r="H81" s="640"/>
      <c r="I81" s="643"/>
      <c r="J81" s="162">
        <f t="shared" si="32"/>
        <v>4643.7299999999996</v>
      </c>
      <c r="K81" s="161">
        <f t="shared" si="26"/>
        <v>4643.7299999999996</v>
      </c>
      <c r="L81" s="36"/>
      <c r="M81" s="36"/>
      <c r="N81" s="218">
        <v>4643.7299999999996</v>
      </c>
      <c r="O81" s="166">
        <f t="shared" si="31"/>
        <v>4875.9164999999994</v>
      </c>
    </row>
    <row r="82" spans="1:15" s="35" customFormat="1" ht="20.100000000000001" customHeight="1" x14ac:dyDescent="0.25">
      <c r="A82" s="24"/>
      <c r="B82" s="643"/>
      <c r="C82" s="390" t="s">
        <v>519</v>
      </c>
      <c r="D82" s="637"/>
      <c r="E82" s="385"/>
      <c r="F82" s="219" t="s">
        <v>511</v>
      </c>
      <c r="G82" s="173" t="s">
        <v>482</v>
      </c>
      <c r="H82" s="640"/>
      <c r="I82" s="643"/>
      <c r="J82" s="162">
        <f t="shared" si="32"/>
        <v>4643.7299999999996</v>
      </c>
      <c r="K82" s="161">
        <f t="shared" si="26"/>
        <v>4643.7299999999996</v>
      </c>
      <c r="L82" s="36"/>
      <c r="M82" s="36"/>
      <c r="N82" s="218">
        <v>4643.7299999999996</v>
      </c>
      <c r="O82" s="166">
        <f t="shared" si="31"/>
        <v>4875.9164999999994</v>
      </c>
    </row>
    <row r="83" spans="1:15" s="35" customFormat="1" ht="20.100000000000001" customHeight="1" x14ac:dyDescent="0.25">
      <c r="A83" s="24"/>
      <c r="B83" s="643"/>
      <c r="C83" s="390" t="s">
        <v>519</v>
      </c>
      <c r="D83" s="637"/>
      <c r="E83" s="385"/>
      <c r="F83" s="219" t="s">
        <v>515</v>
      </c>
      <c r="G83" s="173" t="s">
        <v>480</v>
      </c>
      <c r="H83" s="640"/>
      <c r="I83" s="643"/>
      <c r="J83" s="162">
        <f t="shared" si="32"/>
        <v>4643.7299999999996</v>
      </c>
      <c r="K83" s="161">
        <f t="shared" si="26"/>
        <v>4643.7299999999996</v>
      </c>
      <c r="L83" s="36"/>
      <c r="M83" s="36"/>
      <c r="N83" s="218">
        <v>4643.7299999999996</v>
      </c>
      <c r="O83" s="166">
        <f t="shared" si="31"/>
        <v>4875.9164999999994</v>
      </c>
    </row>
    <row r="84" spans="1:15" s="35" customFormat="1" ht="20.100000000000001" customHeight="1" x14ac:dyDescent="0.25">
      <c r="A84" s="24"/>
      <c r="B84" s="644"/>
      <c r="C84" s="390" t="s">
        <v>519</v>
      </c>
      <c r="D84" s="638"/>
      <c r="E84" s="385"/>
      <c r="F84" s="219" t="s">
        <v>513</v>
      </c>
      <c r="G84" s="173" t="s">
        <v>479</v>
      </c>
      <c r="H84" s="641"/>
      <c r="I84" s="644"/>
      <c r="J84" s="162">
        <f t="shared" si="32"/>
        <v>4643.7299999999996</v>
      </c>
      <c r="K84" s="161">
        <f t="shared" si="26"/>
        <v>4643.7299999999996</v>
      </c>
      <c r="L84" s="36"/>
      <c r="M84" s="36"/>
      <c r="N84" s="218">
        <v>4643.7299999999996</v>
      </c>
      <c r="O84" s="166">
        <f t="shared" si="31"/>
        <v>4875.9164999999994</v>
      </c>
    </row>
    <row r="85" spans="1:15" s="35" customFormat="1" ht="30" customHeight="1" x14ac:dyDescent="0.25">
      <c r="A85" s="24"/>
      <c r="B85" s="157"/>
      <c r="C85" s="386" t="s">
        <v>6</v>
      </c>
      <c r="D85" s="159" t="s">
        <v>156</v>
      </c>
      <c r="E85" s="155" t="s">
        <v>36</v>
      </c>
      <c r="F85" s="219" t="s">
        <v>316</v>
      </c>
      <c r="G85" s="173" t="s">
        <v>155</v>
      </c>
      <c r="H85" s="156">
        <v>5.4</v>
      </c>
      <c r="I85" s="157" t="s">
        <v>31</v>
      </c>
      <c r="J85" s="162">
        <f t="shared" si="1"/>
        <v>1015.61</v>
      </c>
      <c r="K85" s="161">
        <f t="shared" si="26"/>
        <v>1015.61</v>
      </c>
      <c r="L85" s="36"/>
      <c r="M85" s="36"/>
      <c r="N85" s="212">
        <v>1015.61</v>
      </c>
      <c r="O85" s="153">
        <f t="shared" si="9"/>
        <v>1066.3905</v>
      </c>
    </row>
    <row r="86" spans="1:15" s="35" customFormat="1" ht="20.100000000000001" customHeight="1" x14ac:dyDescent="0.25">
      <c r="A86" s="24"/>
      <c r="B86" s="642"/>
      <c r="C86" s="390" t="s">
        <v>458</v>
      </c>
      <c r="D86" s="636" t="s">
        <v>245</v>
      </c>
      <c r="E86" s="645" t="s">
        <v>36</v>
      </c>
      <c r="F86" s="219" t="s">
        <v>315</v>
      </c>
      <c r="G86" s="173" t="s">
        <v>234</v>
      </c>
      <c r="H86" s="639">
        <v>5.4</v>
      </c>
      <c r="I86" s="642" t="s">
        <v>31</v>
      </c>
      <c r="J86" s="162">
        <f t="shared" si="1"/>
        <v>2136</v>
      </c>
      <c r="K86" s="161">
        <f t="shared" si="26"/>
        <v>2136</v>
      </c>
      <c r="L86" s="36"/>
      <c r="M86" s="36"/>
      <c r="N86" s="212">
        <v>2136</v>
      </c>
      <c r="O86" s="153">
        <f t="shared" si="9"/>
        <v>2242.8000000000002</v>
      </c>
    </row>
    <row r="87" spans="1:15" s="35" customFormat="1" ht="20.100000000000001" customHeight="1" x14ac:dyDescent="0.25">
      <c r="A87" s="24"/>
      <c r="B87" s="643"/>
      <c r="C87" s="390" t="s">
        <v>458</v>
      </c>
      <c r="D87" s="637"/>
      <c r="E87" s="645"/>
      <c r="F87" s="219" t="s">
        <v>318</v>
      </c>
      <c r="G87" s="173" t="s">
        <v>132</v>
      </c>
      <c r="H87" s="640"/>
      <c r="I87" s="643"/>
      <c r="J87" s="162">
        <f t="shared" si="1"/>
        <v>2318.09</v>
      </c>
      <c r="K87" s="161">
        <f t="shared" si="26"/>
        <v>2318.09</v>
      </c>
      <c r="L87" s="36"/>
      <c r="M87" s="36"/>
      <c r="N87" s="212">
        <v>2318.09</v>
      </c>
      <c r="O87" s="153">
        <f t="shared" si="9"/>
        <v>2433.9945000000002</v>
      </c>
    </row>
    <row r="88" spans="1:15" s="35" customFormat="1" ht="20.100000000000001" customHeight="1" x14ac:dyDescent="0.25">
      <c r="A88" s="24"/>
      <c r="B88" s="643"/>
      <c r="C88" s="390" t="s">
        <v>458</v>
      </c>
      <c r="D88" s="637"/>
      <c r="E88" s="645"/>
      <c r="F88" s="219" t="s">
        <v>331</v>
      </c>
      <c r="G88" s="173" t="s">
        <v>235</v>
      </c>
      <c r="H88" s="640"/>
      <c r="I88" s="643"/>
      <c r="J88" s="162">
        <f>K88-K88*$K$3</f>
        <v>2209.34</v>
      </c>
      <c r="K88" s="161">
        <f t="shared" si="26"/>
        <v>2209.34</v>
      </c>
      <c r="L88" s="36"/>
      <c r="M88" s="36"/>
      <c r="N88" s="218">
        <v>2209.34</v>
      </c>
      <c r="O88" s="166">
        <f>N88*1.05</f>
        <v>2319.8070000000002</v>
      </c>
    </row>
    <row r="89" spans="1:15" s="35" customFormat="1" ht="20.100000000000001" customHeight="1" x14ac:dyDescent="0.25">
      <c r="A89" s="24"/>
      <c r="B89" s="643"/>
      <c r="C89" s="390" t="s">
        <v>458</v>
      </c>
      <c r="D89" s="637"/>
      <c r="E89" s="645"/>
      <c r="F89" s="219" t="s">
        <v>323</v>
      </c>
      <c r="G89" s="173" t="s">
        <v>133</v>
      </c>
      <c r="H89" s="640"/>
      <c r="I89" s="643"/>
      <c r="J89" s="162">
        <f t="shared" ref="J89:J93" si="33">K89-K89*$K$3</f>
        <v>2209.34</v>
      </c>
      <c r="K89" s="161">
        <f t="shared" si="26"/>
        <v>2209.34</v>
      </c>
      <c r="L89" s="36"/>
      <c r="M89" s="36"/>
      <c r="N89" s="218">
        <v>2209.34</v>
      </c>
      <c r="O89" s="166">
        <f t="shared" ref="O89:O98" si="34">N89*1.05</f>
        <v>2319.8070000000002</v>
      </c>
    </row>
    <row r="90" spans="1:15" s="35" customFormat="1" ht="20.100000000000001" customHeight="1" x14ac:dyDescent="0.25">
      <c r="A90" s="24"/>
      <c r="B90" s="643"/>
      <c r="C90" s="390" t="s">
        <v>458</v>
      </c>
      <c r="D90" s="637"/>
      <c r="E90" s="645"/>
      <c r="F90" s="219" t="s">
        <v>325</v>
      </c>
      <c r="G90" s="173" t="s">
        <v>33</v>
      </c>
      <c r="H90" s="640"/>
      <c r="I90" s="643"/>
      <c r="J90" s="162">
        <f t="shared" si="33"/>
        <v>2209.34</v>
      </c>
      <c r="K90" s="161">
        <f t="shared" si="26"/>
        <v>2209.34</v>
      </c>
      <c r="L90" s="36"/>
      <c r="M90" s="36"/>
      <c r="N90" s="218">
        <v>2209.34</v>
      </c>
      <c r="O90" s="166">
        <f t="shared" si="34"/>
        <v>2319.8070000000002</v>
      </c>
    </row>
    <row r="91" spans="1:15" s="35" customFormat="1" ht="20.100000000000001" customHeight="1" x14ac:dyDescent="0.25">
      <c r="A91" s="24"/>
      <c r="B91" s="643"/>
      <c r="C91" s="390" t="s">
        <v>458</v>
      </c>
      <c r="D91" s="637"/>
      <c r="E91" s="645"/>
      <c r="F91" s="219" t="s">
        <v>329</v>
      </c>
      <c r="G91" s="173" t="s">
        <v>34</v>
      </c>
      <c r="H91" s="640"/>
      <c r="I91" s="643"/>
      <c r="J91" s="162">
        <f t="shared" si="33"/>
        <v>2209.34</v>
      </c>
      <c r="K91" s="161">
        <f t="shared" si="26"/>
        <v>2209.34</v>
      </c>
      <c r="L91" s="36"/>
      <c r="M91" s="36"/>
      <c r="N91" s="218">
        <v>2209.34</v>
      </c>
      <c r="O91" s="166">
        <f t="shared" si="34"/>
        <v>2319.8070000000002</v>
      </c>
    </row>
    <row r="92" spans="1:15" s="35" customFormat="1" ht="20.100000000000001" customHeight="1" x14ac:dyDescent="0.25">
      <c r="A92" s="24"/>
      <c r="B92" s="643"/>
      <c r="C92" s="390" t="s">
        <v>458</v>
      </c>
      <c r="D92" s="637"/>
      <c r="E92" s="645"/>
      <c r="F92" s="219" t="s">
        <v>321</v>
      </c>
      <c r="G92" s="173" t="s">
        <v>236</v>
      </c>
      <c r="H92" s="640"/>
      <c r="I92" s="643"/>
      <c r="J92" s="162">
        <f t="shared" si="33"/>
        <v>2209.34</v>
      </c>
      <c r="K92" s="161">
        <f t="shared" si="26"/>
        <v>2209.34</v>
      </c>
      <c r="L92" s="36"/>
      <c r="M92" s="36"/>
      <c r="N92" s="218">
        <v>2209.34</v>
      </c>
      <c r="O92" s="166">
        <f t="shared" si="34"/>
        <v>2319.8070000000002</v>
      </c>
    </row>
    <row r="93" spans="1:15" s="35" customFormat="1" ht="20.100000000000001" customHeight="1" x14ac:dyDescent="0.25">
      <c r="A93" s="24"/>
      <c r="B93" s="643"/>
      <c r="C93" s="390" t="s">
        <v>458</v>
      </c>
      <c r="D93" s="637"/>
      <c r="E93" s="645"/>
      <c r="F93" s="219" t="s">
        <v>327</v>
      </c>
      <c r="G93" s="173" t="s">
        <v>483</v>
      </c>
      <c r="H93" s="640"/>
      <c r="I93" s="643"/>
      <c r="J93" s="162">
        <f t="shared" si="33"/>
        <v>2209.34</v>
      </c>
      <c r="K93" s="161">
        <f t="shared" si="26"/>
        <v>2209.34</v>
      </c>
      <c r="L93" s="36"/>
      <c r="M93" s="36"/>
      <c r="N93" s="218">
        <v>2209.34</v>
      </c>
      <c r="O93" s="166">
        <f t="shared" si="34"/>
        <v>2319.8070000000002</v>
      </c>
    </row>
    <row r="94" spans="1:15" s="35" customFormat="1" ht="20.100000000000001" customHeight="1" x14ac:dyDescent="0.25">
      <c r="A94" s="24"/>
      <c r="B94" s="643"/>
      <c r="C94" s="390" t="s">
        <v>458</v>
      </c>
      <c r="D94" s="637"/>
      <c r="E94" s="385"/>
      <c r="F94" s="219" t="s">
        <v>518</v>
      </c>
      <c r="G94" s="173" t="s">
        <v>481</v>
      </c>
      <c r="H94" s="640"/>
      <c r="I94" s="643"/>
      <c r="J94" s="162">
        <f t="shared" ref="J94:J98" si="35">K94-K94*$K$3</f>
        <v>2162.16</v>
      </c>
      <c r="K94" s="161">
        <f t="shared" si="26"/>
        <v>2162.16</v>
      </c>
      <c r="L94" s="36"/>
      <c r="M94" s="36"/>
      <c r="N94" s="218">
        <v>2162.16</v>
      </c>
      <c r="O94" s="166">
        <f t="shared" si="34"/>
        <v>2270.268</v>
      </c>
    </row>
    <row r="95" spans="1:15" s="35" customFormat="1" ht="20.100000000000001" customHeight="1" x14ac:dyDescent="0.25">
      <c r="A95" s="24"/>
      <c r="B95" s="643"/>
      <c r="C95" s="390" t="s">
        <v>458</v>
      </c>
      <c r="D95" s="637"/>
      <c r="E95" s="385"/>
      <c r="F95" s="219" t="s">
        <v>510</v>
      </c>
      <c r="G95" s="173" t="s">
        <v>478</v>
      </c>
      <c r="H95" s="640"/>
      <c r="I95" s="643"/>
      <c r="J95" s="162">
        <f t="shared" si="35"/>
        <v>2209.34</v>
      </c>
      <c r="K95" s="161">
        <f t="shared" si="26"/>
        <v>2209.34</v>
      </c>
      <c r="L95" s="36"/>
      <c r="M95" s="36"/>
      <c r="N95" s="218">
        <v>2209.34</v>
      </c>
      <c r="O95" s="166">
        <f t="shared" si="34"/>
        <v>2319.8070000000002</v>
      </c>
    </row>
    <row r="96" spans="1:15" s="35" customFormat="1" ht="20.100000000000001" customHeight="1" x14ac:dyDescent="0.25">
      <c r="A96" s="24"/>
      <c r="B96" s="643"/>
      <c r="C96" s="390" t="s">
        <v>458</v>
      </c>
      <c r="D96" s="637"/>
      <c r="E96" s="385"/>
      <c r="F96" s="219" t="s">
        <v>512</v>
      </c>
      <c r="G96" s="173" t="s">
        <v>482</v>
      </c>
      <c r="H96" s="640"/>
      <c r="I96" s="643"/>
      <c r="J96" s="162">
        <f t="shared" si="35"/>
        <v>2209.34</v>
      </c>
      <c r="K96" s="161">
        <f t="shared" si="26"/>
        <v>2209.34</v>
      </c>
      <c r="L96" s="36"/>
      <c r="M96" s="36"/>
      <c r="N96" s="218">
        <v>2209.34</v>
      </c>
      <c r="O96" s="166">
        <f t="shared" si="34"/>
        <v>2319.8070000000002</v>
      </c>
    </row>
    <row r="97" spans="1:15" s="35" customFormat="1" ht="20.100000000000001" customHeight="1" x14ac:dyDescent="0.25">
      <c r="A97" s="24"/>
      <c r="B97" s="643"/>
      <c r="C97" s="390" t="s">
        <v>458</v>
      </c>
      <c r="D97" s="637"/>
      <c r="E97" s="385"/>
      <c r="F97" s="219" t="s">
        <v>516</v>
      </c>
      <c r="G97" s="173" t="s">
        <v>480</v>
      </c>
      <c r="H97" s="640"/>
      <c r="I97" s="643"/>
      <c r="J97" s="162">
        <f t="shared" si="35"/>
        <v>2209.34</v>
      </c>
      <c r="K97" s="161">
        <f t="shared" si="26"/>
        <v>2209.34</v>
      </c>
      <c r="L97" s="36"/>
      <c r="M97" s="36"/>
      <c r="N97" s="218">
        <v>2209.34</v>
      </c>
      <c r="O97" s="166">
        <f t="shared" si="34"/>
        <v>2319.8070000000002</v>
      </c>
    </row>
    <row r="98" spans="1:15" s="35" customFormat="1" ht="20.100000000000001" customHeight="1" x14ac:dyDescent="0.25">
      <c r="A98" s="24"/>
      <c r="B98" s="644"/>
      <c r="C98" s="390" t="s">
        <v>458</v>
      </c>
      <c r="D98" s="638"/>
      <c r="E98" s="385"/>
      <c r="F98" s="219" t="s">
        <v>514</v>
      </c>
      <c r="G98" s="173" t="s">
        <v>479</v>
      </c>
      <c r="H98" s="641"/>
      <c r="I98" s="644"/>
      <c r="J98" s="162">
        <f t="shared" si="35"/>
        <v>2209.34</v>
      </c>
      <c r="K98" s="161">
        <f t="shared" si="26"/>
        <v>2209.34</v>
      </c>
      <c r="L98" s="36"/>
      <c r="M98" s="36"/>
      <c r="N98" s="218">
        <v>2209.34</v>
      </c>
      <c r="O98" s="166">
        <f t="shared" si="34"/>
        <v>2319.8070000000002</v>
      </c>
    </row>
    <row r="99" spans="1:15" s="35" customFormat="1" ht="18" customHeight="1" x14ac:dyDescent="0.25">
      <c r="A99" s="24"/>
      <c r="B99" s="227" t="s">
        <v>39</v>
      </c>
      <c r="C99" s="227"/>
      <c r="D99" s="227"/>
      <c r="E99" s="227"/>
      <c r="F99" s="227"/>
      <c r="G99" s="227"/>
      <c r="H99" s="227"/>
      <c r="I99" s="227"/>
      <c r="J99" s="227"/>
      <c r="K99" s="227"/>
      <c r="L99" s="36"/>
      <c r="M99" s="36"/>
      <c r="N99" s="209"/>
      <c r="O99" s="210"/>
    </row>
    <row r="100" spans="1:15" s="35" customFormat="1" ht="20.100000000000001" customHeight="1" x14ac:dyDescent="0.25">
      <c r="A100" s="24"/>
      <c r="B100" s="661"/>
      <c r="C100" s="383"/>
      <c r="D100" s="647" t="s">
        <v>40</v>
      </c>
      <c r="E100" s="683" t="s">
        <v>41</v>
      </c>
      <c r="F100" s="219" t="s">
        <v>343</v>
      </c>
      <c r="G100" s="173" t="s">
        <v>234</v>
      </c>
      <c r="H100" s="662"/>
      <c r="I100" s="663" t="s">
        <v>31</v>
      </c>
      <c r="J100" s="162">
        <f>K100-K100*$K$3</f>
        <v>446.37</v>
      </c>
      <c r="K100" s="161">
        <f t="shared" ref="K100:K130" si="36">IF($K$2=$N$2,N100,O100)</f>
        <v>446.37</v>
      </c>
      <c r="L100" s="36"/>
      <c r="M100" s="36"/>
      <c r="N100" s="225">
        <v>446.37</v>
      </c>
      <c r="O100" s="166">
        <f t="shared" ref="O100:O120" si="37">N100*1.05</f>
        <v>468.68850000000003</v>
      </c>
    </row>
    <row r="101" spans="1:15" s="35" customFormat="1" ht="20.100000000000001" customHeight="1" x14ac:dyDescent="0.25">
      <c r="A101" s="24"/>
      <c r="B101" s="661"/>
      <c r="C101" s="383"/>
      <c r="D101" s="647"/>
      <c r="E101" s="683"/>
      <c r="F101" s="219" t="s">
        <v>398</v>
      </c>
      <c r="G101" s="173" t="s">
        <v>132</v>
      </c>
      <c r="H101" s="662"/>
      <c r="I101" s="663"/>
      <c r="J101" s="162">
        <f t="shared" ref="J101:J102" si="38">K101-K101*$K$3</f>
        <v>446.37</v>
      </c>
      <c r="K101" s="161">
        <f t="shared" si="36"/>
        <v>446.37</v>
      </c>
      <c r="L101" s="36"/>
      <c r="M101" s="36"/>
      <c r="N101" s="225">
        <v>446.37</v>
      </c>
      <c r="O101" s="166">
        <f t="shared" ref="O101:O102" si="39">N101*1.05</f>
        <v>468.68850000000003</v>
      </c>
    </row>
    <row r="102" spans="1:15" s="35" customFormat="1" ht="20.100000000000001" customHeight="1" x14ac:dyDescent="0.25">
      <c r="A102" s="24"/>
      <c r="B102" s="661"/>
      <c r="C102" s="383"/>
      <c r="D102" s="647"/>
      <c r="E102" s="683"/>
      <c r="F102" s="219" t="s">
        <v>388</v>
      </c>
      <c r="G102" s="173" t="s">
        <v>136</v>
      </c>
      <c r="H102" s="662"/>
      <c r="I102" s="663"/>
      <c r="J102" s="162">
        <f t="shared" si="38"/>
        <v>446.37</v>
      </c>
      <c r="K102" s="161">
        <f t="shared" si="36"/>
        <v>446.37</v>
      </c>
      <c r="L102" s="36"/>
      <c r="M102" s="36"/>
      <c r="N102" s="225">
        <v>446.37</v>
      </c>
      <c r="O102" s="166">
        <f t="shared" si="39"/>
        <v>468.68850000000003</v>
      </c>
    </row>
    <row r="103" spans="1:15" s="35" customFormat="1" ht="40.049999999999997" customHeight="1" x14ac:dyDescent="0.25">
      <c r="A103" s="24"/>
      <c r="B103" s="158"/>
      <c r="C103" s="383" t="s">
        <v>42</v>
      </c>
      <c r="D103" s="159" t="s">
        <v>42</v>
      </c>
      <c r="E103" s="155" t="s">
        <v>43</v>
      </c>
      <c r="F103" s="219" t="s">
        <v>344</v>
      </c>
      <c r="G103" s="173" t="s">
        <v>234</v>
      </c>
      <c r="H103" s="167"/>
      <c r="I103" s="168" t="s">
        <v>31</v>
      </c>
      <c r="J103" s="162">
        <f>K103-K103*$K$3</f>
        <v>2188.8200000000002</v>
      </c>
      <c r="K103" s="161">
        <f t="shared" si="36"/>
        <v>2188.8200000000002</v>
      </c>
      <c r="L103" s="36"/>
      <c r="M103" s="36"/>
      <c r="N103" s="212">
        <v>2188.8200000000002</v>
      </c>
      <c r="O103" s="161">
        <f t="shared" si="37"/>
        <v>2298.2610000000004</v>
      </c>
    </row>
    <row r="104" spans="1:15" s="35" customFormat="1" ht="20.100000000000001" customHeight="1" x14ac:dyDescent="0.25">
      <c r="A104" s="24"/>
      <c r="B104" s="661"/>
      <c r="C104" s="383"/>
      <c r="D104" s="647" t="s">
        <v>44</v>
      </c>
      <c r="E104" s="645" t="s">
        <v>45</v>
      </c>
      <c r="F104" s="219" t="s">
        <v>345</v>
      </c>
      <c r="G104" s="173" t="s">
        <v>234</v>
      </c>
      <c r="H104" s="662"/>
      <c r="I104" s="663" t="s">
        <v>46</v>
      </c>
      <c r="J104" s="162">
        <f>K104-K104*$K$3</f>
        <v>93.19</v>
      </c>
      <c r="K104" s="161">
        <f t="shared" si="36"/>
        <v>93.19</v>
      </c>
      <c r="L104" s="36"/>
      <c r="M104" s="36"/>
      <c r="N104" s="225">
        <v>93.19</v>
      </c>
      <c r="O104" s="166">
        <f t="shared" si="37"/>
        <v>97.849500000000006</v>
      </c>
    </row>
    <row r="105" spans="1:15" s="35" customFormat="1" ht="20.100000000000001" customHeight="1" x14ac:dyDescent="0.25">
      <c r="A105" s="24"/>
      <c r="B105" s="661"/>
      <c r="C105" s="383"/>
      <c r="D105" s="647"/>
      <c r="E105" s="645"/>
      <c r="F105" s="219" t="s">
        <v>399</v>
      </c>
      <c r="G105" s="173" t="s">
        <v>132</v>
      </c>
      <c r="H105" s="662"/>
      <c r="I105" s="663"/>
      <c r="J105" s="162">
        <f t="shared" ref="J105:J106" si="40">K105-K105*$K$3</f>
        <v>93.19</v>
      </c>
      <c r="K105" s="161">
        <f t="shared" si="36"/>
        <v>93.19</v>
      </c>
      <c r="L105" s="36"/>
      <c r="M105" s="36"/>
      <c r="N105" s="225">
        <v>93.19</v>
      </c>
      <c r="O105" s="166">
        <f t="shared" ref="O105:O106" si="41">N105*1.05</f>
        <v>97.849500000000006</v>
      </c>
    </row>
    <row r="106" spans="1:15" s="35" customFormat="1" ht="20.100000000000001" customHeight="1" x14ac:dyDescent="0.25">
      <c r="A106" s="24"/>
      <c r="B106" s="661"/>
      <c r="C106" s="383"/>
      <c r="D106" s="647"/>
      <c r="E106" s="645"/>
      <c r="F106" s="219" t="s">
        <v>389</v>
      </c>
      <c r="G106" s="173" t="s">
        <v>136</v>
      </c>
      <c r="H106" s="662"/>
      <c r="I106" s="663"/>
      <c r="J106" s="162">
        <f t="shared" si="40"/>
        <v>93.19</v>
      </c>
      <c r="K106" s="161">
        <f t="shared" si="36"/>
        <v>93.19</v>
      </c>
      <c r="L106" s="36"/>
      <c r="M106" s="36"/>
      <c r="N106" s="225">
        <v>93.19</v>
      </c>
      <c r="O106" s="166">
        <f t="shared" si="41"/>
        <v>97.849500000000006</v>
      </c>
    </row>
    <row r="107" spans="1:15" s="39" customFormat="1" ht="20.100000000000001" customHeight="1" x14ac:dyDescent="0.25">
      <c r="B107" s="682"/>
      <c r="C107" s="384"/>
      <c r="D107" s="647" t="s">
        <v>220</v>
      </c>
      <c r="E107" s="680"/>
      <c r="F107" s="219" t="s">
        <v>381</v>
      </c>
      <c r="G107" s="173" t="s">
        <v>234</v>
      </c>
      <c r="H107" s="681"/>
      <c r="I107" s="680" t="s">
        <v>31</v>
      </c>
      <c r="J107" s="174">
        <f>K107-K107*$K$3</f>
        <v>281.54000000000002</v>
      </c>
      <c r="K107" s="161">
        <f t="shared" si="36"/>
        <v>281.54000000000002</v>
      </c>
      <c r="L107" s="36"/>
      <c r="M107" s="36"/>
      <c r="N107" s="217">
        <v>281.54000000000002</v>
      </c>
      <c r="O107" s="166">
        <f t="shared" si="37"/>
        <v>295.61700000000002</v>
      </c>
    </row>
    <row r="108" spans="1:15" s="39" customFormat="1" ht="20.100000000000001" customHeight="1" x14ac:dyDescent="0.25">
      <c r="B108" s="682"/>
      <c r="C108" s="384"/>
      <c r="D108" s="647"/>
      <c r="E108" s="680"/>
      <c r="F108" s="219" t="s">
        <v>380</v>
      </c>
      <c r="G108" s="173" t="s">
        <v>336</v>
      </c>
      <c r="H108" s="681"/>
      <c r="I108" s="680"/>
      <c r="J108" s="174">
        <f t="shared" ref="J108:J110" si="42">K108-K108*$K$3</f>
        <v>281.54000000000002</v>
      </c>
      <c r="K108" s="161">
        <f t="shared" si="36"/>
        <v>281.54000000000002</v>
      </c>
      <c r="L108" s="36"/>
      <c r="M108" s="36"/>
      <c r="N108" s="217">
        <v>281.54000000000002</v>
      </c>
      <c r="O108" s="166">
        <f t="shared" ref="O108:O110" si="43">N108*1.05</f>
        <v>295.61700000000002</v>
      </c>
    </row>
    <row r="109" spans="1:15" s="39" customFormat="1" ht="20.100000000000001" customHeight="1" x14ac:dyDescent="0.25">
      <c r="B109" s="682"/>
      <c r="C109" s="384"/>
      <c r="D109" s="647"/>
      <c r="E109" s="680"/>
      <c r="F109" s="219" t="s">
        <v>396</v>
      </c>
      <c r="G109" s="173" t="s">
        <v>335</v>
      </c>
      <c r="H109" s="681"/>
      <c r="I109" s="680"/>
      <c r="J109" s="174">
        <f t="shared" si="42"/>
        <v>281.54000000000002</v>
      </c>
      <c r="K109" s="161">
        <f t="shared" si="36"/>
        <v>281.54000000000002</v>
      </c>
      <c r="L109" s="36"/>
      <c r="M109" s="36"/>
      <c r="N109" s="217">
        <v>281.54000000000002</v>
      </c>
      <c r="O109" s="166">
        <f t="shared" si="43"/>
        <v>295.61700000000002</v>
      </c>
    </row>
    <row r="110" spans="1:15" s="39" customFormat="1" ht="20.100000000000001" customHeight="1" x14ac:dyDescent="0.25">
      <c r="B110" s="682"/>
      <c r="C110" s="384"/>
      <c r="D110" s="647"/>
      <c r="E110" s="680"/>
      <c r="F110" s="219" t="s">
        <v>408</v>
      </c>
      <c r="G110" s="173" t="s">
        <v>334</v>
      </c>
      <c r="H110" s="681"/>
      <c r="I110" s="680"/>
      <c r="J110" s="174">
        <f t="shared" si="42"/>
        <v>281.54000000000002</v>
      </c>
      <c r="K110" s="161">
        <f t="shared" si="36"/>
        <v>281.54000000000002</v>
      </c>
      <c r="L110" s="36"/>
      <c r="M110" s="36"/>
      <c r="N110" s="217">
        <v>281.54000000000002</v>
      </c>
      <c r="O110" s="166">
        <f t="shared" si="43"/>
        <v>295.61700000000002</v>
      </c>
    </row>
    <row r="111" spans="1:15" s="39" customFormat="1" ht="20.100000000000001" customHeight="1" x14ac:dyDescent="0.25">
      <c r="B111" s="676"/>
      <c r="C111" s="375"/>
      <c r="D111" s="636" t="s">
        <v>138</v>
      </c>
      <c r="E111" s="170" t="s">
        <v>139</v>
      </c>
      <c r="F111" s="219" t="s">
        <v>351</v>
      </c>
      <c r="G111" s="173" t="s">
        <v>234</v>
      </c>
      <c r="H111" s="667"/>
      <c r="I111" s="664" t="s">
        <v>31</v>
      </c>
      <c r="J111" s="162">
        <f>K111-K111*$K$3</f>
        <v>2849.07</v>
      </c>
      <c r="K111" s="161">
        <f t="shared" si="36"/>
        <v>2849.07</v>
      </c>
      <c r="L111" s="36"/>
      <c r="M111" s="36"/>
      <c r="N111" s="212">
        <v>2849.07</v>
      </c>
      <c r="O111" s="153">
        <f t="shared" si="37"/>
        <v>2991.5235000000002</v>
      </c>
    </row>
    <row r="112" spans="1:15" s="39" customFormat="1" ht="20.100000000000001" customHeight="1" x14ac:dyDescent="0.25">
      <c r="B112" s="677"/>
      <c r="C112" s="376"/>
      <c r="D112" s="637"/>
      <c r="E112" s="172"/>
      <c r="F112" s="219" t="s">
        <v>350</v>
      </c>
      <c r="G112" s="173" t="s">
        <v>338</v>
      </c>
      <c r="H112" s="668"/>
      <c r="I112" s="665"/>
      <c r="J112" s="162">
        <f t="shared" ref="J112:J113" si="44">K112-K112*$K$3</f>
        <v>2849.07</v>
      </c>
      <c r="K112" s="161">
        <f t="shared" si="36"/>
        <v>2849.07</v>
      </c>
      <c r="L112" s="36"/>
      <c r="M112" s="36"/>
      <c r="N112" s="212">
        <v>2849.07</v>
      </c>
      <c r="O112" s="161">
        <f t="shared" ref="O112:O113" si="45">N112*1.05</f>
        <v>2991.5235000000002</v>
      </c>
    </row>
    <row r="113" spans="1:15" s="39" customFormat="1" ht="20.100000000000001" customHeight="1" x14ac:dyDescent="0.25">
      <c r="B113" s="678"/>
      <c r="C113" s="377"/>
      <c r="D113" s="638"/>
      <c r="E113" s="172"/>
      <c r="F113" s="219" t="s">
        <v>352</v>
      </c>
      <c r="G113" s="173" t="s">
        <v>337</v>
      </c>
      <c r="H113" s="669"/>
      <c r="I113" s="666"/>
      <c r="J113" s="162">
        <f t="shared" si="44"/>
        <v>2849.07</v>
      </c>
      <c r="K113" s="161">
        <f t="shared" si="36"/>
        <v>2849.07</v>
      </c>
      <c r="L113" s="36"/>
      <c r="M113" s="36"/>
      <c r="N113" s="212">
        <v>2849.07</v>
      </c>
      <c r="O113" s="161">
        <f t="shared" si="45"/>
        <v>2991.5235000000002</v>
      </c>
    </row>
    <row r="114" spans="1:15" s="39" customFormat="1" ht="20.100000000000001" customHeight="1" x14ac:dyDescent="0.25">
      <c r="B114" s="676"/>
      <c r="C114" s="375"/>
      <c r="D114" s="636" t="s">
        <v>140</v>
      </c>
      <c r="E114" s="170" t="s">
        <v>139</v>
      </c>
      <c r="F114" s="219" t="s">
        <v>347</v>
      </c>
      <c r="G114" s="173" t="s">
        <v>234</v>
      </c>
      <c r="H114" s="667"/>
      <c r="I114" s="664" t="s">
        <v>31</v>
      </c>
      <c r="J114" s="162">
        <f>K114-K114*$K$3</f>
        <v>2849.07</v>
      </c>
      <c r="K114" s="161">
        <f t="shared" si="36"/>
        <v>2849.07</v>
      </c>
      <c r="L114" s="36"/>
      <c r="M114" s="36"/>
      <c r="N114" s="212">
        <v>2849.07</v>
      </c>
      <c r="O114" s="153">
        <f t="shared" si="37"/>
        <v>2991.5235000000002</v>
      </c>
    </row>
    <row r="115" spans="1:15" s="39" customFormat="1" ht="20.100000000000001" customHeight="1" x14ac:dyDescent="0.25">
      <c r="B115" s="677"/>
      <c r="C115" s="376"/>
      <c r="D115" s="637"/>
      <c r="E115" s="172"/>
      <c r="F115" s="219" t="s">
        <v>348</v>
      </c>
      <c r="G115" s="173" t="s">
        <v>338</v>
      </c>
      <c r="H115" s="668"/>
      <c r="I115" s="665"/>
      <c r="J115" s="162">
        <f t="shared" ref="J115:J116" si="46">K115-K115*$K$3</f>
        <v>2849.07</v>
      </c>
      <c r="K115" s="161">
        <f t="shared" si="36"/>
        <v>2849.07</v>
      </c>
      <c r="L115" s="36"/>
      <c r="M115" s="36"/>
      <c r="N115" s="212">
        <v>2849.07</v>
      </c>
      <c r="O115" s="161">
        <f t="shared" ref="O115:O116" si="47">N115*1.05</f>
        <v>2991.5235000000002</v>
      </c>
    </row>
    <row r="116" spans="1:15" s="39" customFormat="1" ht="20.100000000000001" customHeight="1" x14ac:dyDescent="0.25">
      <c r="B116" s="678"/>
      <c r="C116" s="377"/>
      <c r="D116" s="638"/>
      <c r="E116" s="172"/>
      <c r="F116" s="219" t="s">
        <v>349</v>
      </c>
      <c r="G116" s="173" t="s">
        <v>337</v>
      </c>
      <c r="H116" s="669"/>
      <c r="I116" s="666"/>
      <c r="J116" s="162">
        <f t="shared" si="46"/>
        <v>2849.07</v>
      </c>
      <c r="K116" s="161">
        <f t="shared" si="36"/>
        <v>2849.07</v>
      </c>
      <c r="L116" s="36"/>
      <c r="M116" s="36"/>
      <c r="N116" s="212">
        <v>2849.07</v>
      </c>
      <c r="O116" s="161">
        <f t="shared" si="47"/>
        <v>2991.5235000000002</v>
      </c>
    </row>
    <row r="117" spans="1:15" s="39" customFormat="1" ht="40.049999999999997" customHeight="1" x14ac:dyDescent="0.25">
      <c r="B117" s="169"/>
      <c r="C117" s="388"/>
      <c r="D117" s="159" t="s">
        <v>256</v>
      </c>
      <c r="E117" s="155" t="s">
        <v>51</v>
      </c>
      <c r="F117" s="219" t="s">
        <v>357</v>
      </c>
      <c r="G117" s="173" t="s">
        <v>234</v>
      </c>
      <c r="H117" s="171"/>
      <c r="I117" s="168" t="s">
        <v>31</v>
      </c>
      <c r="J117" s="162">
        <f>K117-K117*$K$3</f>
        <v>210.59</v>
      </c>
      <c r="K117" s="161">
        <f t="shared" si="36"/>
        <v>210.59</v>
      </c>
      <c r="L117" s="36"/>
      <c r="M117" s="36"/>
      <c r="N117" s="214">
        <v>210.59</v>
      </c>
      <c r="O117" s="153">
        <f t="shared" si="37"/>
        <v>221.11950000000002</v>
      </c>
    </row>
    <row r="118" spans="1:15" s="39" customFormat="1" ht="20.100000000000001" customHeight="1" x14ac:dyDescent="0.25">
      <c r="B118" s="676"/>
      <c r="C118" s="375"/>
      <c r="D118" s="636" t="s">
        <v>177</v>
      </c>
      <c r="E118" s="160"/>
      <c r="F118" s="219" t="s">
        <v>346</v>
      </c>
      <c r="G118" s="173" t="s">
        <v>234</v>
      </c>
      <c r="H118" s="667"/>
      <c r="I118" s="664"/>
      <c r="J118" s="162">
        <f t="shared" ref="J118:J120" si="48">K118-K118*$K$3</f>
        <v>414.16</v>
      </c>
      <c r="K118" s="161">
        <f t="shared" si="36"/>
        <v>414.16</v>
      </c>
      <c r="L118" s="36"/>
      <c r="M118" s="36"/>
      <c r="N118" s="226">
        <v>414.16</v>
      </c>
      <c r="O118" s="161">
        <f t="shared" si="37"/>
        <v>434.86800000000005</v>
      </c>
    </row>
    <row r="119" spans="1:15" s="39" customFormat="1" ht="20.100000000000001" customHeight="1" x14ac:dyDescent="0.25">
      <c r="B119" s="677"/>
      <c r="C119" s="376"/>
      <c r="D119" s="637"/>
      <c r="E119" s="160"/>
      <c r="F119" s="219" t="s">
        <v>402</v>
      </c>
      <c r="G119" s="173" t="s">
        <v>132</v>
      </c>
      <c r="H119" s="668"/>
      <c r="I119" s="665"/>
      <c r="J119" s="162">
        <f t="shared" si="48"/>
        <v>414.16</v>
      </c>
      <c r="K119" s="161">
        <f t="shared" si="36"/>
        <v>414.16</v>
      </c>
      <c r="L119" s="36"/>
      <c r="M119" s="36"/>
      <c r="N119" s="226">
        <v>414.16</v>
      </c>
      <c r="O119" s="161">
        <f t="shared" si="37"/>
        <v>434.86800000000005</v>
      </c>
    </row>
    <row r="120" spans="1:15" s="39" customFormat="1" ht="20.100000000000001" customHeight="1" x14ac:dyDescent="0.25">
      <c r="B120" s="678"/>
      <c r="C120" s="377"/>
      <c r="D120" s="638"/>
      <c r="E120" s="160"/>
      <c r="F120" s="219" t="s">
        <v>401</v>
      </c>
      <c r="G120" s="173" t="s">
        <v>137</v>
      </c>
      <c r="H120" s="669"/>
      <c r="I120" s="666"/>
      <c r="J120" s="162">
        <f t="shared" si="48"/>
        <v>414.16</v>
      </c>
      <c r="K120" s="161">
        <f t="shared" si="36"/>
        <v>414.16</v>
      </c>
      <c r="L120" s="36"/>
      <c r="M120" s="36"/>
      <c r="N120" s="226">
        <v>414.16</v>
      </c>
      <c r="O120" s="161">
        <f t="shared" si="37"/>
        <v>434.86800000000005</v>
      </c>
    </row>
    <row r="121" spans="1:15" s="35" customFormat="1" ht="20.100000000000001" customHeight="1" x14ac:dyDescent="0.25">
      <c r="A121" s="24"/>
      <c r="B121" s="661"/>
      <c r="C121" s="383"/>
      <c r="D121" s="647" t="s">
        <v>52</v>
      </c>
      <c r="E121" s="645" t="s">
        <v>47</v>
      </c>
      <c r="F121" s="219" t="s">
        <v>358</v>
      </c>
      <c r="G121" s="173" t="s">
        <v>234</v>
      </c>
      <c r="H121" s="662"/>
      <c r="I121" s="663" t="s">
        <v>48</v>
      </c>
      <c r="J121" s="162">
        <f>K121-K121*$K$3</f>
        <v>815.4</v>
      </c>
      <c r="K121" s="161">
        <f t="shared" si="36"/>
        <v>815.4</v>
      </c>
      <c r="L121" s="36"/>
      <c r="M121" s="36"/>
      <c r="N121" s="225">
        <v>815.4</v>
      </c>
      <c r="O121" s="166">
        <f t="shared" ref="O121:O161" si="49">N121*1.05</f>
        <v>856.17</v>
      </c>
    </row>
    <row r="122" spans="1:15" s="35" customFormat="1" ht="20.100000000000001" customHeight="1" x14ac:dyDescent="0.25">
      <c r="A122" s="24"/>
      <c r="B122" s="661"/>
      <c r="C122" s="383"/>
      <c r="D122" s="647"/>
      <c r="E122" s="645"/>
      <c r="F122" s="219" t="s">
        <v>400</v>
      </c>
      <c r="G122" s="173" t="s">
        <v>132</v>
      </c>
      <c r="H122" s="662"/>
      <c r="I122" s="663"/>
      <c r="J122" s="162">
        <f t="shared" ref="J122:J123" si="50">K122-K122*$K$3</f>
        <v>815.4</v>
      </c>
      <c r="K122" s="161">
        <f t="shared" si="36"/>
        <v>815.4</v>
      </c>
      <c r="L122" s="36"/>
      <c r="M122" s="36"/>
      <c r="N122" s="225">
        <v>815.4</v>
      </c>
      <c r="O122" s="166">
        <f t="shared" ref="O122:O123" si="51">N122*1.05</f>
        <v>856.17</v>
      </c>
    </row>
    <row r="123" spans="1:15" s="35" customFormat="1" ht="20.100000000000001" customHeight="1" x14ac:dyDescent="0.25">
      <c r="A123" s="24"/>
      <c r="B123" s="661"/>
      <c r="C123" s="383"/>
      <c r="D123" s="647"/>
      <c r="E123" s="645"/>
      <c r="F123" s="219" t="s">
        <v>390</v>
      </c>
      <c r="G123" s="173" t="s">
        <v>137</v>
      </c>
      <c r="H123" s="662"/>
      <c r="I123" s="663"/>
      <c r="J123" s="162">
        <f t="shared" si="50"/>
        <v>815.4</v>
      </c>
      <c r="K123" s="161">
        <f t="shared" si="36"/>
        <v>815.4</v>
      </c>
      <c r="L123" s="36"/>
      <c r="M123" s="36"/>
      <c r="N123" s="225">
        <v>815.4</v>
      </c>
      <c r="O123" s="166">
        <f t="shared" si="51"/>
        <v>856.17</v>
      </c>
    </row>
    <row r="124" spans="1:15" s="35" customFormat="1" ht="20.100000000000001" customHeight="1" x14ac:dyDescent="0.25">
      <c r="A124" s="24"/>
      <c r="B124" s="652"/>
      <c r="C124" s="378"/>
      <c r="D124" s="657" t="s">
        <v>237</v>
      </c>
      <c r="E124" s="139" t="s">
        <v>47</v>
      </c>
      <c r="F124" s="219" t="s">
        <v>355</v>
      </c>
      <c r="G124" s="173" t="s">
        <v>234</v>
      </c>
      <c r="H124" s="673"/>
      <c r="I124" s="670" t="s">
        <v>48</v>
      </c>
      <c r="J124" s="162">
        <f t="shared" ref="J124" si="52">K124-K124*$K$3</f>
        <v>2535.88</v>
      </c>
      <c r="K124" s="161">
        <f t="shared" si="36"/>
        <v>2535.88</v>
      </c>
      <c r="L124" s="36"/>
      <c r="M124" s="36"/>
      <c r="N124" s="213">
        <v>2535.88</v>
      </c>
      <c r="O124" s="153">
        <f t="shared" si="49"/>
        <v>2662.6740000000004</v>
      </c>
    </row>
    <row r="125" spans="1:15" s="35" customFormat="1" ht="20.100000000000001" customHeight="1" x14ac:dyDescent="0.25">
      <c r="A125" s="24"/>
      <c r="B125" s="653"/>
      <c r="C125" s="379"/>
      <c r="D125" s="679"/>
      <c r="E125" s="139"/>
      <c r="F125" s="219" t="s">
        <v>353</v>
      </c>
      <c r="G125" s="173" t="s">
        <v>137</v>
      </c>
      <c r="H125" s="674"/>
      <c r="I125" s="671"/>
      <c r="J125" s="162">
        <f t="shared" ref="J125:J127" si="53">K125-K125*$K$3</f>
        <v>2535.88</v>
      </c>
      <c r="K125" s="161">
        <f t="shared" si="36"/>
        <v>2535.88</v>
      </c>
      <c r="L125" s="36"/>
      <c r="M125" s="36"/>
      <c r="N125" s="213">
        <v>2535.88</v>
      </c>
      <c r="O125" s="161">
        <f t="shared" ref="O125:O127" si="54">N125*1.05</f>
        <v>2662.6740000000004</v>
      </c>
    </row>
    <row r="126" spans="1:15" s="35" customFormat="1" ht="20.100000000000001" customHeight="1" x14ac:dyDescent="0.25">
      <c r="A126" s="24"/>
      <c r="B126" s="653"/>
      <c r="C126" s="379"/>
      <c r="D126" s="679"/>
      <c r="E126" s="139"/>
      <c r="F126" s="219" t="s">
        <v>354</v>
      </c>
      <c r="G126" s="173" t="s">
        <v>336</v>
      </c>
      <c r="H126" s="674"/>
      <c r="I126" s="671"/>
      <c r="J126" s="162">
        <f t="shared" si="53"/>
        <v>2535.88</v>
      </c>
      <c r="K126" s="161">
        <f t="shared" si="36"/>
        <v>2535.88</v>
      </c>
      <c r="L126" s="36"/>
      <c r="M126" s="36"/>
      <c r="N126" s="213">
        <v>2535.88</v>
      </c>
      <c r="O126" s="161">
        <f t="shared" si="54"/>
        <v>2662.6740000000004</v>
      </c>
    </row>
    <row r="127" spans="1:15" s="35" customFormat="1" ht="20.100000000000001" customHeight="1" x14ac:dyDescent="0.25">
      <c r="A127" s="24"/>
      <c r="B127" s="654"/>
      <c r="C127" s="380"/>
      <c r="D127" s="658"/>
      <c r="E127" s="139"/>
      <c r="F127" s="219" t="s">
        <v>356</v>
      </c>
      <c r="G127" s="173" t="s">
        <v>132</v>
      </c>
      <c r="H127" s="675"/>
      <c r="I127" s="672"/>
      <c r="J127" s="162">
        <f t="shared" si="53"/>
        <v>2535.88</v>
      </c>
      <c r="K127" s="161">
        <f t="shared" si="36"/>
        <v>2535.88</v>
      </c>
      <c r="L127" s="36"/>
      <c r="M127" s="36"/>
      <c r="N127" s="213">
        <v>2535.88</v>
      </c>
      <c r="O127" s="161">
        <f t="shared" si="54"/>
        <v>2662.6740000000004</v>
      </c>
    </row>
    <row r="128" spans="1:15" s="35" customFormat="1" ht="40.049999999999997" customHeight="1" x14ac:dyDescent="0.25">
      <c r="A128" s="24"/>
      <c r="B128" s="158"/>
      <c r="C128" s="383" t="s">
        <v>22</v>
      </c>
      <c r="D128" s="159" t="s">
        <v>22</v>
      </c>
      <c r="E128" s="37" t="s">
        <v>53</v>
      </c>
      <c r="F128" s="219" t="s">
        <v>359</v>
      </c>
      <c r="G128" s="173" t="s">
        <v>234</v>
      </c>
      <c r="H128" s="167"/>
      <c r="I128" s="168" t="s">
        <v>48</v>
      </c>
      <c r="J128" s="162">
        <f t="shared" ref="J128:J161" si="55">K128-K128*$K$3</f>
        <v>4368.13</v>
      </c>
      <c r="K128" s="161">
        <f t="shared" si="36"/>
        <v>4368.13</v>
      </c>
      <c r="L128" s="36"/>
      <c r="M128" s="36"/>
      <c r="N128" s="212">
        <v>4368.13</v>
      </c>
      <c r="O128" s="153">
        <f t="shared" si="49"/>
        <v>4586.5365000000002</v>
      </c>
    </row>
    <row r="129" spans="1:15" s="35" customFormat="1" ht="40.049999999999997" customHeight="1" x14ac:dyDescent="0.25">
      <c r="A129" s="24"/>
      <c r="B129" s="158"/>
      <c r="C129" s="383"/>
      <c r="D129" s="159" t="s">
        <v>251</v>
      </c>
      <c r="E129" s="37" t="s">
        <v>53</v>
      </c>
      <c r="F129" s="219" t="s">
        <v>387</v>
      </c>
      <c r="G129" s="173" t="s">
        <v>234</v>
      </c>
      <c r="H129" s="167"/>
      <c r="I129" s="168" t="s">
        <v>48</v>
      </c>
      <c r="J129" s="162">
        <f t="shared" si="55"/>
        <v>4308.78</v>
      </c>
      <c r="K129" s="161">
        <f t="shared" si="36"/>
        <v>4308.78</v>
      </c>
      <c r="L129" s="36"/>
      <c r="M129" s="36"/>
      <c r="N129" s="212">
        <v>4308.78</v>
      </c>
      <c r="O129" s="153">
        <f t="shared" si="49"/>
        <v>4524.2190000000001</v>
      </c>
    </row>
    <row r="130" spans="1:15" s="35" customFormat="1" ht="40.049999999999997" customHeight="1" x14ac:dyDescent="0.3">
      <c r="A130" s="24"/>
      <c r="B130" s="175"/>
      <c r="C130" s="175"/>
      <c r="D130" s="223" t="s">
        <v>255</v>
      </c>
      <c r="E130" s="139" t="s">
        <v>249</v>
      </c>
      <c r="F130" s="219" t="s">
        <v>386</v>
      </c>
      <c r="G130" s="173" t="s">
        <v>234</v>
      </c>
      <c r="H130" s="44"/>
      <c r="I130" s="170" t="s">
        <v>48</v>
      </c>
      <c r="J130" s="45">
        <f t="shared" ref="J130" si="56">K130-K130*$K$3</f>
        <v>1774.19</v>
      </c>
      <c r="K130" s="211">
        <f t="shared" si="36"/>
        <v>1774.19</v>
      </c>
      <c r="L130" s="36"/>
      <c r="M130" s="36"/>
      <c r="N130" s="212">
        <v>1774.19</v>
      </c>
      <c r="O130" s="211">
        <f t="shared" ref="O130" si="57">N130*1.05</f>
        <v>1862.8995000000002</v>
      </c>
    </row>
    <row r="131" spans="1:15" s="35" customFormat="1" ht="39.9" customHeight="1" x14ac:dyDescent="0.25">
      <c r="A131" s="24"/>
      <c r="B131" s="158"/>
      <c r="C131" s="383"/>
      <c r="D131" s="159" t="s">
        <v>54</v>
      </c>
      <c r="E131" s="155" t="s">
        <v>55</v>
      </c>
      <c r="F131" s="219" t="s">
        <v>360</v>
      </c>
      <c r="G131" s="173" t="s">
        <v>234</v>
      </c>
      <c r="H131" s="167"/>
      <c r="I131" s="168" t="s">
        <v>48</v>
      </c>
      <c r="J131" s="162">
        <f t="shared" si="55"/>
        <v>3471.2</v>
      </c>
      <c r="K131" s="161">
        <f t="shared" ref="K131:K162" si="58">IF($K$2=$N$2,N131,O131)</f>
        <v>3471.2</v>
      </c>
      <c r="L131" s="36"/>
      <c r="M131" s="36"/>
      <c r="N131" s="212">
        <v>3471.2</v>
      </c>
      <c r="O131" s="153">
        <f t="shared" si="49"/>
        <v>3644.7599999999998</v>
      </c>
    </row>
    <row r="132" spans="1:15" s="35" customFormat="1" ht="20.100000000000001" customHeight="1" x14ac:dyDescent="0.25">
      <c r="A132" s="24"/>
      <c r="B132" s="661"/>
      <c r="C132" s="383"/>
      <c r="D132" s="647" t="s">
        <v>56</v>
      </c>
      <c r="E132" s="645"/>
      <c r="F132" s="219" t="s">
        <v>361</v>
      </c>
      <c r="G132" s="173" t="s">
        <v>57</v>
      </c>
      <c r="H132" s="662"/>
      <c r="I132" s="663" t="s">
        <v>31</v>
      </c>
      <c r="J132" s="162">
        <f t="shared" si="55"/>
        <v>14.06</v>
      </c>
      <c r="K132" s="161">
        <f t="shared" si="58"/>
        <v>14.06</v>
      </c>
      <c r="L132" s="36"/>
      <c r="M132" s="36"/>
      <c r="N132" s="225">
        <v>14.06</v>
      </c>
      <c r="O132" s="166">
        <f t="shared" si="49"/>
        <v>14.763000000000002</v>
      </c>
    </row>
    <row r="133" spans="1:15" s="35" customFormat="1" ht="20.100000000000001" customHeight="1" x14ac:dyDescent="0.25">
      <c r="A133" s="24"/>
      <c r="B133" s="661"/>
      <c r="C133" s="383"/>
      <c r="D133" s="647"/>
      <c r="E133" s="645"/>
      <c r="F133" s="219" t="s">
        <v>362</v>
      </c>
      <c r="G133" s="173" t="s">
        <v>49</v>
      </c>
      <c r="H133" s="662"/>
      <c r="I133" s="663"/>
      <c r="J133" s="162">
        <f t="shared" ref="J133:J135" si="59">K133-K133*$K$3</f>
        <v>14.06</v>
      </c>
      <c r="K133" s="161">
        <f t="shared" si="58"/>
        <v>14.06</v>
      </c>
      <c r="L133" s="36"/>
      <c r="M133" s="36"/>
      <c r="N133" s="225">
        <v>14.06</v>
      </c>
      <c r="O133" s="166">
        <f t="shared" ref="O133:O135" si="60">N133*1.05</f>
        <v>14.763000000000002</v>
      </c>
    </row>
    <row r="134" spans="1:15" s="35" customFormat="1" ht="20.100000000000001" customHeight="1" x14ac:dyDescent="0.25">
      <c r="A134" s="24"/>
      <c r="B134" s="661"/>
      <c r="C134" s="383"/>
      <c r="D134" s="647"/>
      <c r="E134" s="645"/>
      <c r="F134" s="219" t="s">
        <v>391</v>
      </c>
      <c r="G134" s="173" t="s">
        <v>335</v>
      </c>
      <c r="H134" s="662"/>
      <c r="I134" s="663"/>
      <c r="J134" s="162">
        <f t="shared" ref="J134" si="61">K134-K134*$K$3</f>
        <v>14.06</v>
      </c>
      <c r="K134" s="161">
        <f t="shared" si="58"/>
        <v>14.06</v>
      </c>
      <c r="L134" s="36"/>
      <c r="M134" s="36"/>
      <c r="N134" s="225">
        <v>14.06</v>
      </c>
      <c r="O134" s="166">
        <f t="shared" ref="O134" si="62">N134*1.05</f>
        <v>14.763000000000002</v>
      </c>
    </row>
    <row r="135" spans="1:15" s="35" customFormat="1" ht="20.100000000000001" customHeight="1" x14ac:dyDescent="0.25">
      <c r="A135" s="24"/>
      <c r="B135" s="661"/>
      <c r="C135" s="383"/>
      <c r="D135" s="647"/>
      <c r="E135" s="645"/>
      <c r="F135" s="219" t="s">
        <v>403</v>
      </c>
      <c r="G135" s="173" t="s">
        <v>132</v>
      </c>
      <c r="H135" s="662"/>
      <c r="I135" s="663"/>
      <c r="J135" s="162">
        <f t="shared" si="59"/>
        <v>14.06</v>
      </c>
      <c r="K135" s="161">
        <f t="shared" si="58"/>
        <v>14.06</v>
      </c>
      <c r="L135" s="36"/>
      <c r="M135" s="36"/>
      <c r="N135" s="225">
        <v>14.06</v>
      </c>
      <c r="O135" s="166">
        <f t="shared" si="60"/>
        <v>14.763000000000002</v>
      </c>
    </row>
    <row r="136" spans="1:15" s="35" customFormat="1" ht="40.049999999999997" customHeight="1" x14ac:dyDescent="0.25">
      <c r="A136" s="24"/>
      <c r="B136" s="158"/>
      <c r="C136" s="383"/>
      <c r="D136" s="159" t="s">
        <v>58</v>
      </c>
      <c r="E136" s="155" t="s">
        <v>59</v>
      </c>
      <c r="F136" s="219" t="s">
        <v>363</v>
      </c>
      <c r="G136" s="173" t="s">
        <v>234</v>
      </c>
      <c r="H136" s="167"/>
      <c r="I136" s="168" t="s">
        <v>31</v>
      </c>
      <c r="J136" s="174">
        <f t="shared" si="55"/>
        <v>716</v>
      </c>
      <c r="K136" s="161">
        <f t="shared" si="58"/>
        <v>716</v>
      </c>
      <c r="L136" s="36"/>
      <c r="M136" s="36"/>
      <c r="N136" s="214">
        <v>716</v>
      </c>
      <c r="O136" s="153">
        <f t="shared" si="49"/>
        <v>751.80000000000007</v>
      </c>
    </row>
    <row r="137" spans="1:15" s="35" customFormat="1" ht="20.100000000000001" customHeight="1" x14ac:dyDescent="0.25">
      <c r="A137" s="24"/>
      <c r="B137" s="661"/>
      <c r="C137" s="383"/>
      <c r="D137" s="647" t="s">
        <v>141</v>
      </c>
      <c r="E137" s="645" t="s">
        <v>59</v>
      </c>
      <c r="F137" s="219" t="s">
        <v>364</v>
      </c>
      <c r="G137" s="173" t="s">
        <v>234</v>
      </c>
      <c r="H137" s="662"/>
      <c r="I137" s="663" t="s">
        <v>31</v>
      </c>
      <c r="J137" s="162">
        <f t="shared" si="55"/>
        <v>487.37</v>
      </c>
      <c r="K137" s="161">
        <f t="shared" si="58"/>
        <v>487.37</v>
      </c>
      <c r="L137" s="36"/>
      <c r="M137" s="36"/>
      <c r="N137" s="225">
        <v>487.37</v>
      </c>
      <c r="O137" s="166">
        <f t="shared" si="49"/>
        <v>511.73850000000004</v>
      </c>
    </row>
    <row r="138" spans="1:15" s="35" customFormat="1" ht="20.100000000000001" customHeight="1" x14ac:dyDescent="0.25">
      <c r="A138" s="24"/>
      <c r="B138" s="661"/>
      <c r="C138" s="383"/>
      <c r="D138" s="647"/>
      <c r="E138" s="645"/>
      <c r="F138" s="219" t="s">
        <v>404</v>
      </c>
      <c r="G138" s="173" t="s">
        <v>132</v>
      </c>
      <c r="H138" s="662"/>
      <c r="I138" s="663"/>
      <c r="J138" s="162">
        <f t="shared" ref="J138:J142" si="63">K138-K138*$K$3</f>
        <v>487.37</v>
      </c>
      <c r="K138" s="161">
        <f t="shared" si="58"/>
        <v>487.37</v>
      </c>
      <c r="L138" s="36"/>
      <c r="M138" s="36"/>
      <c r="N138" s="225">
        <v>487.37</v>
      </c>
      <c r="O138" s="166">
        <f t="shared" ref="O138:O142" si="64">N138*1.05</f>
        <v>511.73850000000004</v>
      </c>
    </row>
    <row r="139" spans="1:15" s="35" customFormat="1" ht="20.100000000000001" customHeight="1" x14ac:dyDescent="0.25">
      <c r="A139" s="24"/>
      <c r="B139" s="661"/>
      <c r="C139" s="383"/>
      <c r="D139" s="647"/>
      <c r="E139" s="645"/>
      <c r="F139" s="219" t="s">
        <v>392</v>
      </c>
      <c r="G139" s="173" t="s">
        <v>137</v>
      </c>
      <c r="H139" s="662"/>
      <c r="I139" s="663"/>
      <c r="J139" s="162">
        <f t="shared" si="63"/>
        <v>487.37</v>
      </c>
      <c r="K139" s="161">
        <f t="shared" si="58"/>
        <v>487.37</v>
      </c>
      <c r="L139" s="36"/>
      <c r="M139" s="36"/>
      <c r="N139" s="225">
        <v>487.37</v>
      </c>
      <c r="O139" s="166">
        <f t="shared" si="64"/>
        <v>511.73850000000004</v>
      </c>
    </row>
    <row r="140" spans="1:15" s="35" customFormat="1" ht="20.100000000000001" customHeight="1" x14ac:dyDescent="0.25">
      <c r="A140" s="24"/>
      <c r="B140" s="661"/>
      <c r="C140" s="383"/>
      <c r="D140" s="647" t="s">
        <v>142</v>
      </c>
      <c r="E140" s="645"/>
      <c r="F140" s="219" t="s">
        <v>365</v>
      </c>
      <c r="G140" s="173" t="s">
        <v>234</v>
      </c>
      <c r="H140" s="662"/>
      <c r="I140" s="663"/>
      <c r="J140" s="162">
        <f t="shared" si="63"/>
        <v>487.37</v>
      </c>
      <c r="K140" s="161">
        <f t="shared" si="58"/>
        <v>487.37</v>
      </c>
      <c r="L140" s="36"/>
      <c r="M140" s="36"/>
      <c r="N140" s="225">
        <v>487.37</v>
      </c>
      <c r="O140" s="166">
        <f t="shared" si="64"/>
        <v>511.73850000000004</v>
      </c>
    </row>
    <row r="141" spans="1:15" s="35" customFormat="1" ht="20.100000000000001" customHeight="1" x14ac:dyDescent="0.25">
      <c r="A141" s="24"/>
      <c r="B141" s="661"/>
      <c r="C141" s="383"/>
      <c r="D141" s="647"/>
      <c r="E141" s="645"/>
      <c r="F141" s="219" t="s">
        <v>405</v>
      </c>
      <c r="G141" s="173" t="s">
        <v>132</v>
      </c>
      <c r="H141" s="662"/>
      <c r="I141" s="663"/>
      <c r="J141" s="162">
        <f t="shared" si="63"/>
        <v>487.37</v>
      </c>
      <c r="K141" s="161">
        <f t="shared" si="58"/>
        <v>487.37</v>
      </c>
      <c r="L141" s="36"/>
      <c r="M141" s="36"/>
      <c r="N141" s="225">
        <v>487.37</v>
      </c>
      <c r="O141" s="166">
        <f t="shared" si="64"/>
        <v>511.73850000000004</v>
      </c>
    </row>
    <row r="142" spans="1:15" s="35" customFormat="1" ht="20.100000000000001" customHeight="1" x14ac:dyDescent="0.25">
      <c r="A142" s="24"/>
      <c r="B142" s="661"/>
      <c r="C142" s="383"/>
      <c r="D142" s="647"/>
      <c r="E142" s="645"/>
      <c r="F142" s="219" t="s">
        <v>393</v>
      </c>
      <c r="G142" s="173" t="s">
        <v>137</v>
      </c>
      <c r="H142" s="662"/>
      <c r="I142" s="663"/>
      <c r="J142" s="162">
        <f t="shared" si="63"/>
        <v>487.37</v>
      </c>
      <c r="K142" s="161">
        <f t="shared" si="58"/>
        <v>487.37</v>
      </c>
      <c r="L142" s="36"/>
      <c r="M142" s="36"/>
      <c r="N142" s="225">
        <v>487.37</v>
      </c>
      <c r="O142" s="166">
        <f t="shared" si="64"/>
        <v>511.73850000000004</v>
      </c>
    </row>
    <row r="143" spans="1:15" s="35" customFormat="1" ht="20.100000000000001" customHeight="1" x14ac:dyDescent="0.25">
      <c r="A143" s="24"/>
      <c r="B143" s="661"/>
      <c r="C143" s="383"/>
      <c r="D143" s="647" t="s">
        <v>60</v>
      </c>
      <c r="E143" s="645" t="s">
        <v>59</v>
      </c>
      <c r="F143" s="219" t="s">
        <v>366</v>
      </c>
      <c r="G143" s="173" t="s">
        <v>234</v>
      </c>
      <c r="H143" s="662"/>
      <c r="I143" s="663" t="s">
        <v>31</v>
      </c>
      <c r="J143" s="162">
        <f t="shared" si="55"/>
        <v>565.6</v>
      </c>
      <c r="K143" s="161">
        <f t="shared" si="58"/>
        <v>565.6</v>
      </c>
      <c r="L143" s="36"/>
      <c r="M143" s="36"/>
      <c r="N143" s="225">
        <v>565.6</v>
      </c>
      <c r="O143" s="166">
        <f t="shared" si="49"/>
        <v>593.88</v>
      </c>
    </row>
    <row r="144" spans="1:15" s="35" customFormat="1" ht="20.100000000000001" customHeight="1" x14ac:dyDescent="0.25">
      <c r="A144" s="24"/>
      <c r="B144" s="661"/>
      <c r="C144" s="383"/>
      <c r="D144" s="647"/>
      <c r="E144" s="645"/>
      <c r="F144" s="219" t="s">
        <v>406</v>
      </c>
      <c r="G144" s="173" t="s">
        <v>132</v>
      </c>
      <c r="H144" s="662"/>
      <c r="I144" s="663"/>
      <c r="J144" s="162">
        <f t="shared" ref="J144:J145" si="65">K144-K144*$K$3</f>
        <v>565.6</v>
      </c>
      <c r="K144" s="161">
        <f t="shared" si="58"/>
        <v>565.6</v>
      </c>
      <c r="L144" s="36"/>
      <c r="M144" s="36"/>
      <c r="N144" s="225">
        <v>565.6</v>
      </c>
      <c r="O144" s="166">
        <f t="shared" ref="O144:O145" si="66">N144*1.05</f>
        <v>593.88</v>
      </c>
    </row>
    <row r="145" spans="1:15" s="35" customFormat="1" ht="20.100000000000001" customHeight="1" x14ac:dyDescent="0.25">
      <c r="A145" s="24"/>
      <c r="B145" s="661"/>
      <c r="C145" s="383"/>
      <c r="D145" s="647"/>
      <c r="E145" s="645"/>
      <c r="F145" s="219" t="s">
        <v>394</v>
      </c>
      <c r="G145" s="173" t="s">
        <v>137</v>
      </c>
      <c r="H145" s="662"/>
      <c r="I145" s="663"/>
      <c r="J145" s="162">
        <f t="shared" si="65"/>
        <v>565.6</v>
      </c>
      <c r="K145" s="161">
        <f t="shared" si="58"/>
        <v>565.6</v>
      </c>
      <c r="L145" s="36"/>
      <c r="M145" s="36"/>
      <c r="N145" s="225">
        <v>565.6</v>
      </c>
      <c r="O145" s="166">
        <f t="shared" si="66"/>
        <v>593.88</v>
      </c>
    </row>
    <row r="146" spans="1:15" s="35" customFormat="1" ht="40.049999999999997" customHeight="1" x14ac:dyDescent="0.25">
      <c r="A146" s="40"/>
      <c r="B146" s="176"/>
      <c r="C146" s="384"/>
      <c r="D146" s="159" t="s">
        <v>61</v>
      </c>
      <c r="E146" s="170" t="s">
        <v>41</v>
      </c>
      <c r="F146" s="219" t="s">
        <v>367</v>
      </c>
      <c r="G146" s="173" t="s">
        <v>234</v>
      </c>
      <c r="H146" s="177"/>
      <c r="I146" s="170" t="s">
        <v>31</v>
      </c>
      <c r="J146" s="162">
        <f t="shared" si="55"/>
        <v>52.65</v>
      </c>
      <c r="K146" s="161">
        <f t="shared" si="58"/>
        <v>52.65</v>
      </c>
      <c r="L146" s="36"/>
      <c r="M146" s="36"/>
      <c r="N146" s="215">
        <v>52.65</v>
      </c>
      <c r="O146" s="153">
        <f t="shared" si="49"/>
        <v>55.282499999999999</v>
      </c>
    </row>
    <row r="147" spans="1:15" s="35" customFormat="1" ht="40.049999999999997" customHeight="1" x14ac:dyDescent="0.25">
      <c r="A147" s="24"/>
      <c r="B147" s="158"/>
      <c r="C147" s="383"/>
      <c r="D147" s="159" t="s">
        <v>62</v>
      </c>
      <c r="E147" s="155" t="s">
        <v>41</v>
      </c>
      <c r="F147" s="219" t="s">
        <v>368</v>
      </c>
      <c r="G147" s="173" t="s">
        <v>234</v>
      </c>
      <c r="H147" s="167"/>
      <c r="I147" s="168" t="s">
        <v>31</v>
      </c>
      <c r="J147" s="162">
        <f t="shared" si="55"/>
        <v>60.56</v>
      </c>
      <c r="K147" s="161">
        <f t="shared" si="58"/>
        <v>60.56</v>
      </c>
      <c r="L147" s="36"/>
      <c r="M147" s="36"/>
      <c r="N147" s="214">
        <v>60.56</v>
      </c>
      <c r="O147" s="153">
        <f t="shared" si="49"/>
        <v>63.588000000000008</v>
      </c>
    </row>
    <row r="148" spans="1:15" s="35" customFormat="1" ht="40.049999999999997" customHeight="1" x14ac:dyDescent="0.25">
      <c r="A148" s="40"/>
      <c r="B148" s="176"/>
      <c r="C148" s="384"/>
      <c r="D148" s="159" t="s">
        <v>63</v>
      </c>
      <c r="E148" s="170" t="s">
        <v>41</v>
      </c>
      <c r="F148" s="219" t="s">
        <v>369</v>
      </c>
      <c r="G148" s="173" t="s">
        <v>234</v>
      </c>
      <c r="H148" s="177"/>
      <c r="I148" s="170" t="s">
        <v>31</v>
      </c>
      <c r="J148" s="162">
        <f t="shared" si="55"/>
        <v>311.57</v>
      </c>
      <c r="K148" s="161">
        <f t="shared" si="58"/>
        <v>311.57</v>
      </c>
      <c r="L148" s="36"/>
      <c r="M148" s="36"/>
      <c r="N148" s="214">
        <v>311.57</v>
      </c>
      <c r="O148" s="153">
        <f t="shared" si="49"/>
        <v>327.14850000000001</v>
      </c>
    </row>
    <row r="149" spans="1:15" s="35" customFormat="1" ht="40.049999999999997" customHeight="1" x14ac:dyDescent="0.25">
      <c r="A149" s="40" t="s">
        <v>64</v>
      </c>
      <c r="B149" s="176"/>
      <c r="C149" s="173" t="s">
        <v>160</v>
      </c>
      <c r="D149" s="159" t="s">
        <v>65</v>
      </c>
      <c r="E149" s="170" t="s">
        <v>53</v>
      </c>
      <c r="F149" s="219" t="s">
        <v>372</v>
      </c>
      <c r="G149" s="173" t="s">
        <v>234</v>
      </c>
      <c r="H149" s="177"/>
      <c r="I149" s="170" t="s">
        <v>48</v>
      </c>
      <c r="J149" s="162">
        <f t="shared" si="55"/>
        <v>3290.67</v>
      </c>
      <c r="K149" s="161">
        <f t="shared" si="58"/>
        <v>3290.67</v>
      </c>
      <c r="L149" s="36"/>
      <c r="M149" s="36"/>
      <c r="N149" s="212">
        <v>3290.67</v>
      </c>
      <c r="O149" s="153">
        <f t="shared" si="49"/>
        <v>3455.2035000000001</v>
      </c>
    </row>
    <row r="150" spans="1:15" s="35" customFormat="1" ht="40.049999999999997" customHeight="1" x14ac:dyDescent="0.25">
      <c r="A150" s="24"/>
      <c r="B150" s="158"/>
      <c r="C150" s="383"/>
      <c r="D150" s="159" t="s">
        <v>66</v>
      </c>
      <c r="E150" s="155" t="s">
        <v>59</v>
      </c>
      <c r="F150" s="219" t="s">
        <v>370</v>
      </c>
      <c r="G150" s="173" t="s">
        <v>234</v>
      </c>
      <c r="H150" s="167"/>
      <c r="I150" s="168" t="s">
        <v>31</v>
      </c>
      <c r="J150" s="162">
        <f t="shared" si="55"/>
        <v>748.1</v>
      </c>
      <c r="K150" s="161">
        <f t="shared" si="58"/>
        <v>748.1</v>
      </c>
      <c r="L150" s="36"/>
      <c r="M150" s="36"/>
      <c r="N150" s="214">
        <v>748.1</v>
      </c>
      <c r="O150" s="153">
        <f t="shared" si="49"/>
        <v>785.50500000000011</v>
      </c>
    </row>
    <row r="151" spans="1:15" s="35" customFormat="1" ht="40.049999999999997" customHeight="1" x14ac:dyDescent="0.25">
      <c r="A151" s="40"/>
      <c r="B151" s="176"/>
      <c r="C151" s="384" t="s">
        <v>67</v>
      </c>
      <c r="D151" s="159" t="s">
        <v>67</v>
      </c>
      <c r="E151" s="170" t="s">
        <v>45</v>
      </c>
      <c r="F151" s="219" t="s">
        <v>371</v>
      </c>
      <c r="G151" s="173" t="s">
        <v>234</v>
      </c>
      <c r="H151" s="37"/>
      <c r="I151" s="170" t="s">
        <v>48</v>
      </c>
      <c r="J151" s="162">
        <f t="shared" si="55"/>
        <v>189.27</v>
      </c>
      <c r="K151" s="161">
        <f t="shared" si="58"/>
        <v>189.27</v>
      </c>
      <c r="L151" s="36"/>
      <c r="M151" s="36"/>
      <c r="N151" s="214">
        <v>189.27</v>
      </c>
      <c r="O151" s="153">
        <f t="shared" si="49"/>
        <v>198.73350000000002</v>
      </c>
    </row>
    <row r="152" spans="1:15" s="35" customFormat="1" ht="20.100000000000001" customHeight="1" x14ac:dyDescent="0.25">
      <c r="A152" s="24"/>
      <c r="B152" s="661"/>
      <c r="C152" s="383"/>
      <c r="D152" s="647" t="s">
        <v>68</v>
      </c>
      <c r="E152" s="645" t="s">
        <v>36</v>
      </c>
      <c r="F152" s="172" t="s">
        <v>373</v>
      </c>
      <c r="G152" s="173" t="s">
        <v>234</v>
      </c>
      <c r="H152" s="662"/>
      <c r="I152" s="663" t="s">
        <v>31</v>
      </c>
      <c r="J152" s="162">
        <f t="shared" si="55"/>
        <v>751.74</v>
      </c>
      <c r="K152" s="161">
        <f t="shared" si="58"/>
        <v>751.74</v>
      </c>
      <c r="L152" s="36"/>
      <c r="M152" s="36"/>
      <c r="N152" s="225">
        <v>751.74</v>
      </c>
      <c r="O152" s="166">
        <f t="shared" si="49"/>
        <v>789.327</v>
      </c>
    </row>
    <row r="153" spans="1:15" s="35" customFormat="1" ht="20.100000000000001" customHeight="1" x14ac:dyDescent="0.25">
      <c r="A153" s="24"/>
      <c r="B153" s="661"/>
      <c r="C153" s="383"/>
      <c r="D153" s="647"/>
      <c r="E153" s="645"/>
      <c r="F153" s="219" t="s">
        <v>407</v>
      </c>
      <c r="G153" s="173" t="s">
        <v>132</v>
      </c>
      <c r="H153" s="662"/>
      <c r="I153" s="663"/>
      <c r="J153" s="162">
        <f t="shared" ref="J153:J154" si="67">K153-K153*$K$3</f>
        <v>751.74</v>
      </c>
      <c r="K153" s="161">
        <f t="shared" si="58"/>
        <v>751.74</v>
      </c>
      <c r="L153" s="36"/>
      <c r="M153" s="36"/>
      <c r="N153" s="225">
        <v>751.74</v>
      </c>
      <c r="O153" s="166">
        <f t="shared" ref="O153:O154" si="68">N153*1.05</f>
        <v>789.327</v>
      </c>
    </row>
    <row r="154" spans="1:15" s="35" customFormat="1" ht="20.100000000000001" customHeight="1" x14ac:dyDescent="0.25">
      <c r="A154" s="24"/>
      <c r="B154" s="661"/>
      <c r="C154" s="383"/>
      <c r="D154" s="647"/>
      <c r="E154" s="645"/>
      <c r="F154" s="219" t="s">
        <v>395</v>
      </c>
      <c r="G154" s="173" t="s">
        <v>137</v>
      </c>
      <c r="H154" s="662"/>
      <c r="I154" s="663"/>
      <c r="J154" s="162">
        <f t="shared" si="67"/>
        <v>751.74</v>
      </c>
      <c r="K154" s="161">
        <f t="shared" si="58"/>
        <v>751.74</v>
      </c>
      <c r="L154" s="36"/>
      <c r="M154" s="36"/>
      <c r="N154" s="225">
        <v>751.74</v>
      </c>
      <c r="O154" s="166">
        <f t="shared" si="68"/>
        <v>789.327</v>
      </c>
    </row>
    <row r="155" spans="1:15" s="35" customFormat="1" ht="40.049999999999997" customHeight="1" x14ac:dyDescent="0.25">
      <c r="A155" s="24"/>
      <c r="B155" s="158"/>
      <c r="C155" s="383"/>
      <c r="D155" s="159" t="s">
        <v>69</v>
      </c>
      <c r="E155" s="155" t="s">
        <v>70</v>
      </c>
      <c r="F155" s="219" t="s">
        <v>374</v>
      </c>
      <c r="G155" s="173" t="s">
        <v>234</v>
      </c>
      <c r="H155" s="167"/>
      <c r="I155" s="168" t="s">
        <v>31</v>
      </c>
      <c r="J155" s="162">
        <f t="shared" si="55"/>
        <v>8.33</v>
      </c>
      <c r="K155" s="161">
        <f t="shared" si="58"/>
        <v>8.33</v>
      </c>
      <c r="L155" s="36"/>
      <c r="M155" s="36"/>
      <c r="N155" s="214">
        <v>8.33</v>
      </c>
      <c r="O155" s="153">
        <f t="shared" si="49"/>
        <v>8.7465000000000011</v>
      </c>
    </row>
    <row r="156" spans="1:15" s="42" customFormat="1" ht="40.049999999999997" customHeight="1" x14ac:dyDescent="0.25">
      <c r="A156" s="41"/>
      <c r="B156" s="178"/>
      <c r="C156" s="178"/>
      <c r="D156" s="159" t="s">
        <v>71</v>
      </c>
      <c r="E156" s="170" t="s">
        <v>72</v>
      </c>
      <c r="F156" s="219" t="s">
        <v>377</v>
      </c>
      <c r="G156" s="173" t="s">
        <v>234</v>
      </c>
      <c r="H156" s="167"/>
      <c r="I156" s="168" t="s">
        <v>48</v>
      </c>
      <c r="J156" s="162">
        <f t="shared" si="55"/>
        <v>235.89</v>
      </c>
      <c r="K156" s="161">
        <f t="shared" si="58"/>
        <v>235.89</v>
      </c>
      <c r="L156" s="36"/>
      <c r="M156" s="36"/>
      <c r="N156" s="214">
        <v>235.89</v>
      </c>
      <c r="O156" s="153">
        <f t="shared" si="49"/>
        <v>247.68449999999999</v>
      </c>
    </row>
    <row r="157" spans="1:15" s="35" customFormat="1" ht="40.049999999999997" customHeight="1" x14ac:dyDescent="0.25">
      <c r="A157" s="24"/>
      <c r="B157" s="158"/>
      <c r="C157" s="383" t="s">
        <v>73</v>
      </c>
      <c r="D157" s="159" t="s">
        <v>73</v>
      </c>
      <c r="E157" s="170" t="s">
        <v>143</v>
      </c>
      <c r="F157" s="219" t="s">
        <v>379</v>
      </c>
      <c r="G157" s="173"/>
      <c r="H157" s="167"/>
      <c r="I157" s="168" t="s">
        <v>48</v>
      </c>
      <c r="J157" s="162">
        <f t="shared" si="55"/>
        <v>592.29</v>
      </c>
      <c r="K157" s="161">
        <f t="shared" si="58"/>
        <v>592.29</v>
      </c>
      <c r="L157" s="36"/>
      <c r="M157" s="36"/>
      <c r="N157" s="214">
        <v>592.29</v>
      </c>
      <c r="O157" s="153">
        <f t="shared" si="49"/>
        <v>621.90449999999998</v>
      </c>
    </row>
    <row r="158" spans="1:15" s="35" customFormat="1" ht="40.049999999999997" customHeight="1" x14ac:dyDescent="0.25">
      <c r="A158" s="24"/>
      <c r="B158" s="158"/>
      <c r="C158" s="383" t="s">
        <v>74</v>
      </c>
      <c r="D158" s="159" t="s">
        <v>74</v>
      </c>
      <c r="E158" s="170" t="s">
        <v>75</v>
      </c>
      <c r="F158" s="219" t="s">
        <v>378</v>
      </c>
      <c r="G158" s="173" t="s">
        <v>234</v>
      </c>
      <c r="H158" s="167"/>
      <c r="I158" s="168" t="s">
        <v>31</v>
      </c>
      <c r="J158" s="162">
        <f t="shared" si="55"/>
        <v>133.72</v>
      </c>
      <c r="K158" s="161">
        <f t="shared" si="58"/>
        <v>133.72</v>
      </c>
      <c r="L158" s="36"/>
      <c r="M158" s="36"/>
      <c r="N158" s="214">
        <v>133.72</v>
      </c>
      <c r="O158" s="153">
        <f t="shared" si="49"/>
        <v>140.40600000000001</v>
      </c>
    </row>
    <row r="159" spans="1:15" s="34" customFormat="1" ht="40.049999999999997" customHeight="1" x14ac:dyDescent="0.25">
      <c r="A159" s="164"/>
      <c r="B159" s="179"/>
      <c r="C159" s="179"/>
      <c r="D159" s="159" t="s">
        <v>144</v>
      </c>
      <c r="E159" s="155" t="s">
        <v>36</v>
      </c>
      <c r="F159" s="219" t="s">
        <v>376</v>
      </c>
      <c r="G159" s="173" t="s">
        <v>234</v>
      </c>
      <c r="H159" s="43"/>
      <c r="I159" s="158" t="s">
        <v>31</v>
      </c>
      <c r="J159" s="162">
        <f t="shared" si="55"/>
        <v>140.43</v>
      </c>
      <c r="K159" s="161">
        <f t="shared" si="58"/>
        <v>140.43</v>
      </c>
      <c r="L159" s="36"/>
      <c r="M159" s="36"/>
      <c r="N159" s="214">
        <v>140.43</v>
      </c>
      <c r="O159" s="153">
        <f t="shared" si="49"/>
        <v>147.45150000000001</v>
      </c>
    </row>
    <row r="160" spans="1:15" s="34" customFormat="1" ht="40.049999999999997" customHeight="1" x14ac:dyDescent="0.25">
      <c r="A160" s="164"/>
      <c r="B160" s="179"/>
      <c r="C160" s="179"/>
      <c r="D160" s="159" t="s">
        <v>145</v>
      </c>
      <c r="E160" s="155" t="s">
        <v>36</v>
      </c>
      <c r="F160" s="219" t="s">
        <v>375</v>
      </c>
      <c r="G160" s="173" t="s">
        <v>234</v>
      </c>
      <c r="H160" s="43"/>
      <c r="I160" s="158" t="s">
        <v>31</v>
      </c>
      <c r="J160" s="162">
        <f t="shared" si="55"/>
        <v>105.3</v>
      </c>
      <c r="K160" s="161">
        <f t="shared" si="58"/>
        <v>105.3</v>
      </c>
      <c r="L160" s="36"/>
      <c r="M160" s="36"/>
      <c r="N160" s="214">
        <v>105.3</v>
      </c>
      <c r="O160" s="153">
        <f t="shared" si="49"/>
        <v>110.565</v>
      </c>
    </row>
    <row r="161" spans="1:15" s="35" customFormat="1" ht="21.15" customHeight="1" x14ac:dyDescent="0.25">
      <c r="A161" s="24"/>
      <c r="B161" s="633"/>
      <c r="C161" s="372"/>
      <c r="D161" s="636" t="s">
        <v>76</v>
      </c>
      <c r="E161" s="37" t="s">
        <v>77</v>
      </c>
      <c r="F161" s="219" t="s">
        <v>383</v>
      </c>
      <c r="G161" s="173" t="s">
        <v>339</v>
      </c>
      <c r="H161" s="633"/>
      <c r="I161" s="652" t="s">
        <v>50</v>
      </c>
      <c r="J161" s="162">
        <f t="shared" si="55"/>
        <v>103.79</v>
      </c>
      <c r="K161" s="161">
        <f t="shared" si="58"/>
        <v>103.79</v>
      </c>
      <c r="L161" s="36"/>
      <c r="M161" s="36"/>
      <c r="N161" s="214">
        <v>103.79</v>
      </c>
      <c r="O161" s="153">
        <f t="shared" si="49"/>
        <v>108.97950000000002</v>
      </c>
    </row>
    <row r="162" spans="1:15" s="35" customFormat="1" ht="21.15" customHeight="1" x14ac:dyDescent="0.25">
      <c r="A162" s="24"/>
      <c r="B162" s="634"/>
      <c r="C162" s="373"/>
      <c r="D162" s="637"/>
      <c r="E162" s="173"/>
      <c r="F162" s="219" t="s">
        <v>382</v>
      </c>
      <c r="G162" s="173" t="s">
        <v>336</v>
      </c>
      <c r="H162" s="634"/>
      <c r="I162" s="653"/>
      <c r="J162" s="162">
        <f t="shared" ref="J162:J164" si="69">K162-K162*$K$3</f>
        <v>103.79</v>
      </c>
      <c r="K162" s="161">
        <f t="shared" si="58"/>
        <v>103.79</v>
      </c>
      <c r="L162" s="36"/>
      <c r="M162" s="36"/>
      <c r="N162" s="214">
        <v>103.79</v>
      </c>
      <c r="O162" s="161">
        <f t="shared" ref="O162:O164" si="70">N162*1.05</f>
        <v>108.97950000000002</v>
      </c>
    </row>
    <row r="163" spans="1:15" s="35" customFormat="1" ht="21.15" customHeight="1" x14ac:dyDescent="0.25">
      <c r="A163" s="24"/>
      <c r="B163" s="634"/>
      <c r="C163" s="373"/>
      <c r="D163" s="637"/>
      <c r="E163" s="173"/>
      <c r="F163" s="219" t="s">
        <v>397</v>
      </c>
      <c r="G163" s="173" t="s">
        <v>335</v>
      </c>
      <c r="H163" s="634"/>
      <c r="I163" s="653"/>
      <c r="J163" s="162">
        <f t="shared" si="69"/>
        <v>103.79</v>
      </c>
      <c r="K163" s="161">
        <f t="shared" ref="K163:K169" si="71">IF($K$2=$N$2,N163,O163)</f>
        <v>103.79</v>
      </c>
      <c r="L163" s="36"/>
      <c r="M163" s="36"/>
      <c r="N163" s="214">
        <v>103.79</v>
      </c>
      <c r="O163" s="161">
        <f t="shared" si="70"/>
        <v>108.97950000000002</v>
      </c>
    </row>
    <row r="164" spans="1:15" s="35" customFormat="1" ht="21.15" customHeight="1" x14ac:dyDescent="0.25">
      <c r="A164" s="24"/>
      <c r="B164" s="635"/>
      <c r="C164" s="374"/>
      <c r="D164" s="638"/>
      <c r="E164" s="173"/>
      <c r="F164" s="219" t="s">
        <v>409</v>
      </c>
      <c r="G164" s="173" t="s">
        <v>334</v>
      </c>
      <c r="H164" s="635"/>
      <c r="I164" s="654"/>
      <c r="J164" s="162">
        <f t="shared" si="69"/>
        <v>103.79</v>
      </c>
      <c r="K164" s="161">
        <f t="shared" si="71"/>
        <v>103.79</v>
      </c>
      <c r="L164" s="36"/>
      <c r="M164" s="36"/>
      <c r="N164" s="214">
        <v>103.79</v>
      </c>
      <c r="O164" s="161">
        <f t="shared" si="70"/>
        <v>108.97950000000002</v>
      </c>
    </row>
    <row r="165" spans="1:15" ht="21.15" customHeight="1" x14ac:dyDescent="0.3">
      <c r="B165" s="655"/>
      <c r="C165" s="381"/>
      <c r="D165" s="657" t="s">
        <v>248</v>
      </c>
      <c r="E165" s="139" t="s">
        <v>249</v>
      </c>
      <c r="F165" s="219" t="s">
        <v>385</v>
      </c>
      <c r="G165" s="139" t="s">
        <v>339</v>
      </c>
      <c r="H165" s="649"/>
      <c r="I165" s="659" t="s">
        <v>50</v>
      </c>
      <c r="J165" s="45">
        <f t="shared" ref="J165" si="72">K165-K165*$K$3</f>
        <v>33.47</v>
      </c>
      <c r="K165" s="211">
        <f t="shared" si="71"/>
        <v>33.47</v>
      </c>
      <c r="L165" s="36"/>
      <c r="M165" s="36"/>
      <c r="N165" s="214">
        <v>33.47</v>
      </c>
      <c r="O165" s="211">
        <f>N165*1.05</f>
        <v>35.143500000000003</v>
      </c>
    </row>
    <row r="166" spans="1:15" ht="21.15" customHeight="1" x14ac:dyDescent="0.3">
      <c r="B166" s="656"/>
      <c r="C166" s="382"/>
      <c r="D166" s="658"/>
      <c r="E166" s="139"/>
      <c r="F166" s="219" t="s">
        <v>384</v>
      </c>
      <c r="G166" s="139" t="s">
        <v>335</v>
      </c>
      <c r="H166" s="651"/>
      <c r="I166" s="660"/>
      <c r="J166" s="45">
        <f t="shared" ref="J166:J169" si="73">K166-K166*$K$3</f>
        <v>33.47</v>
      </c>
      <c r="K166" s="211">
        <f t="shared" si="71"/>
        <v>33.47</v>
      </c>
      <c r="L166" s="36"/>
      <c r="M166" s="36"/>
      <c r="N166" s="214">
        <v>33.47</v>
      </c>
      <c r="O166" s="211">
        <f>N166*1.05</f>
        <v>35.143500000000003</v>
      </c>
    </row>
    <row r="167" spans="1:15" ht="20.100000000000001" customHeight="1" x14ac:dyDescent="0.3">
      <c r="B167" s="661"/>
      <c r="C167" s="383"/>
      <c r="D167" s="647" t="s">
        <v>465</v>
      </c>
      <c r="E167" s="645" t="s">
        <v>36</v>
      </c>
      <c r="F167" s="370" t="s">
        <v>466</v>
      </c>
      <c r="G167" s="139" t="s">
        <v>335</v>
      </c>
      <c r="H167" s="662"/>
      <c r="I167" s="663" t="s">
        <v>31</v>
      </c>
      <c r="J167" s="162">
        <f t="shared" si="73"/>
        <v>61.71</v>
      </c>
      <c r="K167" s="161">
        <f t="shared" si="71"/>
        <v>61.71</v>
      </c>
      <c r="L167" s="36"/>
      <c r="M167" s="36"/>
      <c r="N167" s="214">
        <v>61.71</v>
      </c>
      <c r="O167" s="211">
        <f>N167*1.05</f>
        <v>64.795500000000004</v>
      </c>
    </row>
    <row r="168" spans="1:15" ht="20.100000000000001" customHeight="1" x14ac:dyDescent="0.3">
      <c r="B168" s="661"/>
      <c r="C168" s="383"/>
      <c r="D168" s="647"/>
      <c r="E168" s="645"/>
      <c r="F168" s="219" t="s">
        <v>467</v>
      </c>
      <c r="G168" s="173" t="s">
        <v>469</v>
      </c>
      <c r="H168" s="662"/>
      <c r="I168" s="663"/>
      <c r="J168" s="162">
        <f t="shared" si="73"/>
        <v>61.71</v>
      </c>
      <c r="K168" s="161">
        <f t="shared" si="71"/>
        <v>61.71</v>
      </c>
      <c r="L168" s="36"/>
      <c r="M168" s="36"/>
      <c r="N168" s="214">
        <v>61.71</v>
      </c>
      <c r="O168" s="211">
        <f t="shared" ref="O168:O169" si="74">N168*1.05</f>
        <v>64.795500000000004</v>
      </c>
    </row>
    <row r="169" spans="1:15" ht="20.100000000000001" customHeight="1" x14ac:dyDescent="0.3">
      <c r="B169" s="661"/>
      <c r="C169" s="383"/>
      <c r="D169" s="647"/>
      <c r="E169" s="645"/>
      <c r="F169" s="219" t="s">
        <v>468</v>
      </c>
      <c r="G169" s="173" t="s">
        <v>334</v>
      </c>
      <c r="H169" s="662"/>
      <c r="I169" s="663"/>
      <c r="J169" s="162">
        <f t="shared" si="73"/>
        <v>61.71</v>
      </c>
      <c r="K169" s="161">
        <f t="shared" si="71"/>
        <v>61.71</v>
      </c>
      <c r="L169" s="36"/>
      <c r="M169" s="36"/>
      <c r="N169" s="214">
        <v>61.71</v>
      </c>
      <c r="O169" s="211">
        <f t="shared" si="74"/>
        <v>64.795500000000004</v>
      </c>
    </row>
    <row r="170" spans="1:15" ht="17.399999999999999" customHeight="1" x14ac:dyDescent="0.3">
      <c r="B170" s="227" t="s">
        <v>273</v>
      </c>
      <c r="C170" s="394"/>
      <c r="D170" s="227"/>
      <c r="E170" s="227"/>
      <c r="F170" s="227"/>
      <c r="G170" s="227"/>
      <c r="H170" s="227"/>
      <c r="I170" s="227"/>
      <c r="J170" s="227"/>
      <c r="K170" s="227"/>
      <c r="L170" s="36"/>
      <c r="M170" s="36"/>
      <c r="N170" s="168"/>
      <c r="O170" s="216"/>
    </row>
    <row r="171" spans="1:15" ht="20.100000000000001" customHeight="1" x14ac:dyDescent="0.3">
      <c r="B171" s="633"/>
      <c r="C171" s="372"/>
      <c r="D171" s="636" t="s">
        <v>80</v>
      </c>
      <c r="E171" s="155" t="s">
        <v>146</v>
      </c>
      <c r="F171" s="219" t="s">
        <v>412</v>
      </c>
      <c r="G171" s="173" t="s">
        <v>234</v>
      </c>
      <c r="H171" s="649"/>
      <c r="I171" s="652" t="s">
        <v>31</v>
      </c>
      <c r="J171" s="45">
        <f>K171-K171*$K$3</f>
        <v>12.6</v>
      </c>
      <c r="K171" s="211">
        <f t="shared" ref="K171:K184" si="75">IF($K$2=$N$2,N171,O171)</f>
        <v>12.6</v>
      </c>
      <c r="L171" s="36"/>
      <c r="M171" s="36"/>
      <c r="N171" s="214">
        <v>12.6</v>
      </c>
      <c r="O171" s="211">
        <f t="shared" ref="O171:O184" si="76">N171*1.05</f>
        <v>13.23</v>
      </c>
    </row>
    <row r="172" spans="1:15" ht="20.100000000000001" customHeight="1" x14ac:dyDescent="0.3">
      <c r="B172" s="634"/>
      <c r="C172" s="373"/>
      <c r="D172" s="637"/>
      <c r="E172" s="160"/>
      <c r="F172" s="219" t="s">
        <v>413</v>
      </c>
      <c r="G172" s="173" t="s">
        <v>342</v>
      </c>
      <c r="H172" s="650"/>
      <c r="I172" s="653"/>
      <c r="J172" s="45">
        <f t="shared" ref="J172:J173" si="77">K172-K172*$K$3</f>
        <v>12.6</v>
      </c>
      <c r="K172" s="211">
        <f t="shared" si="75"/>
        <v>12.6</v>
      </c>
      <c r="L172" s="36"/>
      <c r="M172" s="36"/>
      <c r="N172" s="214">
        <v>12.6</v>
      </c>
      <c r="O172" s="211">
        <f t="shared" ref="O172:O173" si="78">N172*1.05</f>
        <v>13.23</v>
      </c>
    </row>
    <row r="173" spans="1:15" ht="20.100000000000001" customHeight="1" x14ac:dyDescent="0.3">
      <c r="B173" s="635"/>
      <c r="C173" s="374"/>
      <c r="D173" s="638"/>
      <c r="E173" s="160"/>
      <c r="F173" s="219" t="s">
        <v>414</v>
      </c>
      <c r="G173" s="173" t="s">
        <v>334</v>
      </c>
      <c r="H173" s="651"/>
      <c r="I173" s="654"/>
      <c r="J173" s="45">
        <f t="shared" si="77"/>
        <v>12.6</v>
      </c>
      <c r="K173" s="211">
        <f t="shared" si="75"/>
        <v>12.6</v>
      </c>
      <c r="L173" s="36"/>
      <c r="M173" s="36"/>
      <c r="N173" s="214">
        <v>12.6</v>
      </c>
      <c r="O173" s="211">
        <f t="shared" si="78"/>
        <v>13.23</v>
      </c>
    </row>
    <row r="174" spans="1:15" ht="38.25" customHeight="1" x14ac:dyDescent="0.3">
      <c r="B174" s="179"/>
      <c r="C174" s="179"/>
      <c r="D174" s="159" t="s">
        <v>147</v>
      </c>
      <c r="E174" s="155" t="s">
        <v>148</v>
      </c>
      <c r="F174" s="219" t="s">
        <v>410</v>
      </c>
      <c r="G174" s="173"/>
      <c r="H174" s="44"/>
      <c r="I174" s="158" t="s">
        <v>31</v>
      </c>
      <c r="J174" s="45">
        <f t="shared" ref="J174:J184" si="79">K174-K174*$K$3</f>
        <v>103.59</v>
      </c>
      <c r="K174" s="211">
        <f t="shared" si="75"/>
        <v>103.59</v>
      </c>
      <c r="L174" s="36"/>
      <c r="M174" s="36"/>
      <c r="N174" s="214">
        <v>103.59</v>
      </c>
      <c r="O174" s="211">
        <f t="shared" si="76"/>
        <v>108.76950000000001</v>
      </c>
    </row>
    <row r="175" spans="1:15" ht="39" customHeight="1" x14ac:dyDescent="0.3">
      <c r="B175" s="179"/>
      <c r="C175" s="179"/>
      <c r="D175" s="159" t="s">
        <v>149</v>
      </c>
      <c r="E175" s="155" t="s">
        <v>148</v>
      </c>
      <c r="F175" s="219" t="s">
        <v>411</v>
      </c>
      <c r="G175" s="173"/>
      <c r="H175" s="44"/>
      <c r="I175" s="158" t="s">
        <v>31</v>
      </c>
      <c r="J175" s="45">
        <f t="shared" si="79"/>
        <v>83.2</v>
      </c>
      <c r="K175" s="211">
        <f t="shared" si="75"/>
        <v>83.2</v>
      </c>
      <c r="L175" s="36"/>
      <c r="M175" s="36"/>
      <c r="N175" s="214">
        <v>83.2</v>
      </c>
      <c r="O175" s="211">
        <f t="shared" si="76"/>
        <v>87.360000000000014</v>
      </c>
    </row>
    <row r="176" spans="1:15" ht="42" customHeight="1" x14ac:dyDescent="0.3">
      <c r="B176" s="179"/>
      <c r="C176" s="179"/>
      <c r="D176" s="159" t="s">
        <v>150</v>
      </c>
      <c r="E176" s="155" t="s">
        <v>41</v>
      </c>
      <c r="F176" s="219" t="s">
        <v>201</v>
      </c>
      <c r="G176" s="173"/>
      <c r="H176" s="44"/>
      <c r="I176" s="37" t="s">
        <v>31</v>
      </c>
      <c r="J176" s="45">
        <f t="shared" si="79"/>
        <v>17.96</v>
      </c>
      <c r="K176" s="211">
        <f t="shared" si="75"/>
        <v>17.96</v>
      </c>
      <c r="L176" s="36"/>
      <c r="M176" s="36"/>
      <c r="N176" s="214">
        <v>17.96</v>
      </c>
      <c r="O176" s="211">
        <f t="shared" si="76"/>
        <v>18.858000000000001</v>
      </c>
    </row>
    <row r="177" spans="2:15" ht="34.5" customHeight="1" x14ac:dyDescent="0.3">
      <c r="B177" s="43"/>
      <c r="C177" s="43"/>
      <c r="D177" s="159" t="s">
        <v>82</v>
      </c>
      <c r="E177" s="155" t="s">
        <v>83</v>
      </c>
      <c r="F177" s="219" t="s">
        <v>415</v>
      </c>
      <c r="G177" s="224" t="s">
        <v>340</v>
      </c>
      <c r="H177" s="44"/>
      <c r="I177" s="37" t="s">
        <v>50</v>
      </c>
      <c r="J177" s="45">
        <f t="shared" si="79"/>
        <v>76.03</v>
      </c>
      <c r="K177" s="211">
        <f t="shared" si="75"/>
        <v>76.03</v>
      </c>
      <c r="L177" s="36"/>
      <c r="M177" s="36"/>
      <c r="N177" s="214">
        <v>76.03</v>
      </c>
      <c r="O177" s="211">
        <f t="shared" si="76"/>
        <v>79.831500000000005</v>
      </c>
    </row>
    <row r="178" spans="2:15" ht="36" customHeight="1" x14ac:dyDescent="0.3">
      <c r="B178" s="633"/>
      <c r="C178" s="372"/>
      <c r="D178" s="636" t="s">
        <v>151</v>
      </c>
      <c r="E178" s="155" t="s">
        <v>83</v>
      </c>
      <c r="F178" s="219" t="s">
        <v>416</v>
      </c>
      <c r="G178" s="224" t="s">
        <v>340</v>
      </c>
      <c r="H178" s="44"/>
      <c r="I178" s="158" t="s">
        <v>50</v>
      </c>
      <c r="J178" s="45">
        <f t="shared" si="79"/>
        <v>44.33</v>
      </c>
      <c r="K178" s="211">
        <f t="shared" si="75"/>
        <v>44.33</v>
      </c>
      <c r="L178" s="36"/>
      <c r="M178" s="36"/>
      <c r="N178" s="214">
        <v>44.33</v>
      </c>
      <c r="O178" s="211">
        <f t="shared" si="76"/>
        <v>46.546500000000002</v>
      </c>
    </row>
    <row r="179" spans="2:15" ht="32.25" customHeight="1" x14ac:dyDescent="0.3">
      <c r="B179" s="635"/>
      <c r="C179" s="374"/>
      <c r="D179" s="638"/>
      <c r="E179" s="155" t="s">
        <v>83</v>
      </c>
      <c r="F179" s="219" t="s">
        <v>417</v>
      </c>
      <c r="G179" s="224" t="s">
        <v>341</v>
      </c>
      <c r="H179" s="44"/>
      <c r="I179" s="158" t="s">
        <v>50</v>
      </c>
      <c r="J179" s="45">
        <f t="shared" si="79"/>
        <v>44.33</v>
      </c>
      <c r="K179" s="211">
        <f t="shared" si="75"/>
        <v>44.33</v>
      </c>
      <c r="L179" s="36"/>
      <c r="M179" s="36"/>
      <c r="N179" s="214">
        <v>44.33</v>
      </c>
      <c r="O179" s="211">
        <f t="shared" si="76"/>
        <v>46.546500000000002</v>
      </c>
    </row>
    <row r="180" spans="2:15" ht="20.100000000000001" customHeight="1" x14ac:dyDescent="0.3">
      <c r="B180" s="633"/>
      <c r="C180" s="372"/>
      <c r="D180" s="636" t="s">
        <v>152</v>
      </c>
      <c r="E180" s="155" t="s">
        <v>153</v>
      </c>
      <c r="F180" s="219" t="s">
        <v>419</v>
      </c>
      <c r="G180" s="173" t="s">
        <v>339</v>
      </c>
      <c r="H180" s="649"/>
      <c r="I180" s="652" t="s">
        <v>50</v>
      </c>
      <c r="J180" s="45">
        <f t="shared" si="79"/>
        <v>26.32</v>
      </c>
      <c r="K180" s="211">
        <f t="shared" si="75"/>
        <v>26.32</v>
      </c>
      <c r="L180" s="36"/>
      <c r="M180" s="36"/>
      <c r="N180" s="214">
        <v>26.32</v>
      </c>
      <c r="O180" s="211">
        <f t="shared" si="76"/>
        <v>27.636000000000003</v>
      </c>
    </row>
    <row r="181" spans="2:15" ht="20.100000000000001" customHeight="1" x14ac:dyDescent="0.3">
      <c r="B181" s="634"/>
      <c r="C181" s="373"/>
      <c r="D181" s="637"/>
      <c r="E181" s="160"/>
      <c r="F181" s="219" t="s">
        <v>420</v>
      </c>
      <c r="G181" s="173" t="s">
        <v>336</v>
      </c>
      <c r="H181" s="650"/>
      <c r="I181" s="653"/>
      <c r="J181" s="45">
        <f t="shared" ref="J181:J183" si="80">K181-K181*$K$3</f>
        <v>26.32</v>
      </c>
      <c r="K181" s="211">
        <f t="shared" si="75"/>
        <v>26.32</v>
      </c>
      <c r="L181" s="36"/>
      <c r="M181" s="36"/>
      <c r="N181" s="214">
        <v>26.32</v>
      </c>
      <c r="O181" s="211">
        <f t="shared" ref="O181:O183" si="81">N181*1.05</f>
        <v>27.636000000000003</v>
      </c>
    </row>
    <row r="182" spans="2:15" ht="20.100000000000001" customHeight="1" x14ac:dyDescent="0.3">
      <c r="B182" s="634"/>
      <c r="C182" s="373"/>
      <c r="D182" s="637"/>
      <c r="E182" s="160"/>
      <c r="F182" s="219" t="s">
        <v>421</v>
      </c>
      <c r="G182" s="173" t="s">
        <v>335</v>
      </c>
      <c r="H182" s="650"/>
      <c r="I182" s="653"/>
      <c r="J182" s="45">
        <f t="shared" si="80"/>
        <v>26.32</v>
      </c>
      <c r="K182" s="211">
        <f t="shared" si="75"/>
        <v>26.32</v>
      </c>
      <c r="L182" s="36"/>
      <c r="M182" s="36"/>
      <c r="N182" s="214">
        <v>26.32</v>
      </c>
      <c r="O182" s="211">
        <f t="shared" si="81"/>
        <v>27.636000000000003</v>
      </c>
    </row>
    <row r="183" spans="2:15" ht="20.100000000000001" customHeight="1" x14ac:dyDescent="0.3">
      <c r="B183" s="635"/>
      <c r="C183" s="374"/>
      <c r="D183" s="638"/>
      <c r="E183" s="160"/>
      <c r="F183" s="219" t="s">
        <v>422</v>
      </c>
      <c r="G183" s="173" t="s">
        <v>334</v>
      </c>
      <c r="H183" s="651"/>
      <c r="I183" s="654"/>
      <c r="J183" s="45">
        <f t="shared" si="80"/>
        <v>26.32</v>
      </c>
      <c r="K183" s="211">
        <f t="shared" si="75"/>
        <v>26.32</v>
      </c>
      <c r="L183" s="36"/>
      <c r="M183" s="36"/>
      <c r="N183" s="214">
        <v>26.32</v>
      </c>
      <c r="O183" s="211">
        <f t="shared" si="81"/>
        <v>27.636000000000003</v>
      </c>
    </row>
    <row r="184" spans="2:15" ht="39" customHeight="1" x14ac:dyDescent="0.3">
      <c r="B184" s="179"/>
      <c r="C184" s="179"/>
      <c r="D184" s="159" t="s">
        <v>81</v>
      </c>
      <c r="E184" s="155" t="s">
        <v>70</v>
      </c>
      <c r="F184" s="219" t="s">
        <v>418</v>
      </c>
      <c r="G184" s="173"/>
      <c r="H184" s="44"/>
      <c r="I184" s="158" t="s">
        <v>31</v>
      </c>
      <c r="J184" s="45">
        <f t="shared" si="79"/>
        <v>10.4</v>
      </c>
      <c r="K184" s="211">
        <f t="shared" si="75"/>
        <v>10.4</v>
      </c>
      <c r="L184" s="36"/>
      <c r="M184" s="36"/>
      <c r="N184" s="214">
        <v>10.4</v>
      </c>
      <c r="O184" s="211">
        <f t="shared" si="76"/>
        <v>10.920000000000002</v>
      </c>
    </row>
    <row r="185" spans="2:15" ht="25.2" customHeight="1" x14ac:dyDescent="0.3">
      <c r="B185" s="633"/>
      <c r="C185" s="179"/>
      <c r="D185" s="636" t="s">
        <v>529</v>
      </c>
      <c r="E185" s="473" t="s">
        <v>70</v>
      </c>
      <c r="F185" s="219" t="s">
        <v>530</v>
      </c>
      <c r="G185" s="173"/>
      <c r="H185" s="44"/>
      <c r="I185" s="474" t="s">
        <v>31</v>
      </c>
      <c r="J185" s="45">
        <f t="shared" ref="J185" si="82">K185-K185*$K$3</f>
        <v>797.31</v>
      </c>
      <c r="K185" s="211">
        <f t="shared" ref="K185" si="83">IF($K$2=$N$2,N185,O185)</f>
        <v>797.31</v>
      </c>
      <c r="L185" s="36"/>
      <c r="M185" s="36"/>
      <c r="N185" s="226">
        <v>797.31</v>
      </c>
      <c r="O185" s="211">
        <f t="shared" ref="O185:O188" si="84">N185*1.05</f>
        <v>837.17549999999994</v>
      </c>
    </row>
    <row r="186" spans="2:15" ht="19.95" customHeight="1" x14ac:dyDescent="0.3">
      <c r="B186" s="634"/>
      <c r="C186" s="179"/>
      <c r="D186" s="637"/>
      <c r="E186" s="473" t="s">
        <v>70</v>
      </c>
      <c r="F186" s="219" t="s">
        <v>531</v>
      </c>
      <c r="G186" s="173"/>
      <c r="H186" s="44"/>
      <c r="I186" s="474" t="s">
        <v>31</v>
      </c>
      <c r="J186" s="45">
        <f t="shared" ref="J186:J188" si="85">K186-K186*$K$3</f>
        <v>797.31</v>
      </c>
      <c r="K186" s="211">
        <f t="shared" ref="K186:K188" si="86">IF($K$2=$N$2,N186,O186)</f>
        <v>797.31</v>
      </c>
      <c r="M186" s="36"/>
      <c r="N186" s="226">
        <v>797.31</v>
      </c>
      <c r="O186" s="211">
        <f t="shared" si="84"/>
        <v>837.17549999999994</v>
      </c>
    </row>
    <row r="187" spans="2:15" ht="19.95" customHeight="1" x14ac:dyDescent="0.3">
      <c r="B187" s="634"/>
      <c r="C187" s="179"/>
      <c r="D187" s="637"/>
      <c r="E187" s="473" t="s">
        <v>70</v>
      </c>
      <c r="F187" s="219" t="s">
        <v>532</v>
      </c>
      <c r="G187" s="173"/>
      <c r="H187" s="44"/>
      <c r="I187" s="474" t="s">
        <v>31</v>
      </c>
      <c r="J187" s="45">
        <f t="shared" si="85"/>
        <v>797.31</v>
      </c>
      <c r="K187" s="211">
        <f t="shared" si="86"/>
        <v>797.31</v>
      </c>
      <c r="M187" s="36"/>
      <c r="N187" s="226">
        <v>797.31</v>
      </c>
      <c r="O187" s="211">
        <f t="shared" si="84"/>
        <v>837.17549999999994</v>
      </c>
    </row>
    <row r="188" spans="2:15" ht="19.95" customHeight="1" x14ac:dyDescent="0.3">
      <c r="B188" s="635"/>
      <c r="C188" s="179"/>
      <c r="D188" s="638"/>
      <c r="E188" s="473" t="s">
        <v>70</v>
      </c>
      <c r="F188" s="219" t="s">
        <v>533</v>
      </c>
      <c r="G188" s="173"/>
      <c r="H188" s="44"/>
      <c r="I188" s="474" t="s">
        <v>31</v>
      </c>
      <c r="J188" s="45">
        <f t="shared" si="85"/>
        <v>797.31</v>
      </c>
      <c r="K188" s="211">
        <f t="shared" si="86"/>
        <v>797.31</v>
      </c>
      <c r="M188" s="36"/>
      <c r="N188" s="226">
        <v>797.31</v>
      </c>
      <c r="O188" s="211">
        <f t="shared" si="84"/>
        <v>837.17549999999994</v>
      </c>
    </row>
    <row r="189" spans="2:15" ht="19.95" customHeight="1" x14ac:dyDescent="0.3"/>
    <row r="190" spans="2:15" ht="19.95" customHeight="1" x14ac:dyDescent="0.3"/>
    <row r="191" spans="2:15" ht="19.95" customHeight="1" x14ac:dyDescent="0.3"/>
    <row r="192" spans="2:15" ht="19.95" customHeight="1" x14ac:dyDescent="0.3"/>
    <row r="193" ht="19.95" customHeight="1" x14ac:dyDescent="0.3"/>
    <row r="194" ht="19.95" customHeight="1" x14ac:dyDescent="0.3"/>
    <row r="195" ht="19.95" customHeight="1" x14ac:dyDescent="0.3"/>
    <row r="196" ht="19.95" customHeight="1" x14ac:dyDescent="0.3"/>
    <row r="197" ht="19.95" customHeight="1" x14ac:dyDescent="0.3"/>
    <row r="198" ht="19.95" customHeight="1" x14ac:dyDescent="0.3"/>
    <row r="199" ht="19.95" customHeight="1" x14ac:dyDescent="0.3"/>
    <row r="200" ht="19.95" customHeight="1" x14ac:dyDescent="0.3"/>
    <row r="201" ht="19.95" customHeight="1" x14ac:dyDescent="0.3"/>
    <row r="202" ht="19.95" customHeight="1" x14ac:dyDescent="0.3"/>
    <row r="203" ht="19.95" customHeight="1" x14ac:dyDescent="0.3"/>
    <row r="204" ht="19.95" customHeight="1" x14ac:dyDescent="0.3"/>
    <row r="205" ht="19.95" customHeight="1" x14ac:dyDescent="0.3"/>
    <row r="206" ht="19.95" customHeight="1" x14ac:dyDescent="0.3"/>
    <row r="207" ht="19.95" customHeight="1" x14ac:dyDescent="0.3"/>
    <row r="208" ht="19.95" customHeight="1" x14ac:dyDescent="0.3"/>
    <row r="209" ht="19.95" customHeight="1" x14ac:dyDescent="0.3"/>
    <row r="210" ht="19.95" customHeight="1" x14ac:dyDescent="0.3"/>
    <row r="211" ht="19.95" customHeight="1" x14ac:dyDescent="0.3"/>
    <row r="212" ht="19.95" customHeight="1" x14ac:dyDescent="0.3"/>
    <row r="213" ht="19.95" customHeight="1" x14ac:dyDescent="0.3"/>
    <row r="214" ht="19.95" customHeight="1" x14ac:dyDescent="0.3"/>
    <row r="215" ht="19.95" customHeight="1" x14ac:dyDescent="0.3"/>
    <row r="216" ht="19.95" customHeight="1" x14ac:dyDescent="0.3"/>
    <row r="217" ht="19.95" customHeight="1" x14ac:dyDescent="0.3"/>
    <row r="218" ht="19.95" customHeight="1" x14ac:dyDescent="0.3"/>
    <row r="219" ht="19.95" customHeight="1" x14ac:dyDescent="0.3"/>
    <row r="220" ht="19.95" customHeight="1" x14ac:dyDescent="0.3"/>
    <row r="221" ht="19.95" customHeight="1" x14ac:dyDescent="0.3"/>
    <row r="222" ht="19.95" customHeight="1" x14ac:dyDescent="0.3"/>
    <row r="223" ht="19.95" customHeight="1" x14ac:dyDescent="0.3"/>
    <row r="224" ht="19.95" customHeight="1" x14ac:dyDescent="0.3"/>
    <row r="225" ht="19.95" customHeight="1" x14ac:dyDescent="0.3"/>
    <row r="226" ht="19.95" customHeight="1" x14ac:dyDescent="0.3"/>
    <row r="227" ht="19.95" customHeight="1" x14ac:dyDescent="0.3"/>
    <row r="228" ht="19.95" customHeight="1" x14ac:dyDescent="0.3"/>
    <row r="229" ht="19.95" customHeight="1" x14ac:dyDescent="0.3"/>
    <row r="230" ht="19.95" customHeight="1" x14ac:dyDescent="0.3"/>
  </sheetData>
  <sheetProtection algorithmName="SHA-512" hashValue="R66+lJnRr6o3y0wX3fUUShUChWkw1Yy4TxjNr33DRZeb0FrNmsbltfcRBMJ1hZi6kx+pS7OZGeOLY/fECfXkXQ==" saltValue="lGJLvs41g0zEHnwtWEOQSw==" spinCount="100000" sheet="1" objects="1" selectLockedCells="1"/>
  <mergeCells count="131">
    <mergeCell ref="I50:I62"/>
    <mergeCell ref="B100:B102"/>
    <mergeCell ref="D100:D102"/>
    <mergeCell ref="E100:E102"/>
    <mergeCell ref="E50:E51"/>
    <mergeCell ref="E63:E71"/>
    <mergeCell ref="H37:H49"/>
    <mergeCell ref="I37:I49"/>
    <mergeCell ref="E72:E79"/>
    <mergeCell ref="B63:B71"/>
    <mergeCell ref="D63:D71"/>
    <mergeCell ref="H63:H71"/>
    <mergeCell ref="I63:I71"/>
    <mergeCell ref="B6:B18"/>
    <mergeCell ref="D6:D18"/>
    <mergeCell ref="B143:B145"/>
    <mergeCell ref="D143:D145"/>
    <mergeCell ref="E143:E145"/>
    <mergeCell ref="H143:H145"/>
    <mergeCell ref="D140:D142"/>
    <mergeCell ref="B137:B142"/>
    <mergeCell ref="D137:D139"/>
    <mergeCell ref="E137:E142"/>
    <mergeCell ref="H137:H142"/>
    <mergeCell ref="H32:H33"/>
    <mergeCell ref="B50:B62"/>
    <mergeCell ref="D50:D62"/>
    <mergeCell ref="E52:E62"/>
    <mergeCell ref="H50:H62"/>
    <mergeCell ref="D32:D33"/>
    <mergeCell ref="E21:E26"/>
    <mergeCell ref="E32:E33"/>
    <mergeCell ref="E37:E38"/>
    <mergeCell ref="B37:B49"/>
    <mergeCell ref="D37:D49"/>
    <mergeCell ref="E39:E49"/>
    <mergeCell ref="B107:B110"/>
    <mergeCell ref="D107:D110"/>
    <mergeCell ref="E107:E110"/>
    <mergeCell ref="H107:H110"/>
    <mergeCell ref="I107:I110"/>
    <mergeCell ref="E86:E93"/>
    <mergeCell ref="B104:B106"/>
    <mergeCell ref="D104:D106"/>
    <mergeCell ref="E104:E106"/>
    <mergeCell ref="H104:H106"/>
    <mergeCell ref="I104:I106"/>
    <mergeCell ref="H100:H102"/>
    <mergeCell ref="I100:I102"/>
    <mergeCell ref="B111:B113"/>
    <mergeCell ref="D111:D113"/>
    <mergeCell ref="B114:B116"/>
    <mergeCell ref="D114:D116"/>
    <mergeCell ref="I111:I113"/>
    <mergeCell ref="I114:I116"/>
    <mergeCell ref="H114:H116"/>
    <mergeCell ref="H111:H113"/>
    <mergeCell ref="B124:B127"/>
    <mergeCell ref="D124:D127"/>
    <mergeCell ref="B121:B123"/>
    <mergeCell ref="D121:D123"/>
    <mergeCell ref="E121:E123"/>
    <mergeCell ref="H121:H123"/>
    <mergeCell ref="I121:I123"/>
    <mergeCell ref="B118:B120"/>
    <mergeCell ref="D118:D120"/>
    <mergeCell ref="I171:I173"/>
    <mergeCell ref="I118:I120"/>
    <mergeCell ref="H118:H120"/>
    <mergeCell ref="I124:I127"/>
    <mergeCell ref="H124:H127"/>
    <mergeCell ref="B132:B135"/>
    <mergeCell ref="D132:D135"/>
    <mergeCell ref="E132:E135"/>
    <mergeCell ref="H132:H135"/>
    <mergeCell ref="I132:I135"/>
    <mergeCell ref="B152:B154"/>
    <mergeCell ref="D152:D154"/>
    <mergeCell ref="E152:E154"/>
    <mergeCell ref="H152:H154"/>
    <mergeCell ref="I152:I154"/>
    <mergeCell ref="I143:I145"/>
    <mergeCell ref="I137:I142"/>
    <mergeCell ref="E8:E13"/>
    <mergeCell ref="E19:E20"/>
    <mergeCell ref="B180:B183"/>
    <mergeCell ref="D180:D183"/>
    <mergeCell ref="H180:H183"/>
    <mergeCell ref="I180:I183"/>
    <mergeCell ref="B165:B166"/>
    <mergeCell ref="D165:D166"/>
    <mergeCell ref="I165:I166"/>
    <mergeCell ref="H165:H166"/>
    <mergeCell ref="B161:B164"/>
    <mergeCell ref="D161:D164"/>
    <mergeCell ref="I161:I164"/>
    <mergeCell ref="H161:H164"/>
    <mergeCell ref="B167:B169"/>
    <mergeCell ref="D167:D169"/>
    <mergeCell ref="E167:E169"/>
    <mergeCell ref="H167:H169"/>
    <mergeCell ref="I167:I169"/>
    <mergeCell ref="D178:D179"/>
    <mergeCell ref="B178:B179"/>
    <mergeCell ref="B171:B173"/>
    <mergeCell ref="D171:D173"/>
    <mergeCell ref="H171:H173"/>
    <mergeCell ref="B185:B188"/>
    <mergeCell ref="D185:D188"/>
    <mergeCell ref="H6:H18"/>
    <mergeCell ref="I6:I18"/>
    <mergeCell ref="B19:B31"/>
    <mergeCell ref="D19:D31"/>
    <mergeCell ref="B86:B98"/>
    <mergeCell ref="D86:D98"/>
    <mergeCell ref="B72:B84"/>
    <mergeCell ref="D72:D84"/>
    <mergeCell ref="H19:H31"/>
    <mergeCell ref="I19:I31"/>
    <mergeCell ref="H72:H84"/>
    <mergeCell ref="I72:I84"/>
    <mergeCell ref="H86:H98"/>
    <mergeCell ref="I86:I98"/>
    <mergeCell ref="E6:E7"/>
    <mergeCell ref="B34:B36"/>
    <mergeCell ref="D34:D36"/>
    <mergeCell ref="H34:H36"/>
    <mergeCell ref="I34:I36"/>
    <mergeCell ref="I32:I33"/>
    <mergeCell ref="E34:E36"/>
    <mergeCell ref="B32:B33"/>
  </mergeCells>
  <dataValidations count="1">
    <dataValidation type="list" allowBlank="1" showInputMessage="1" showErrorMessage="1" sqref="K2">
      <formula1>$N$2:$N$3</formula1>
    </dataValidation>
  </dataValidations>
  <pageMargins left="0.7" right="0.7" top="0.75" bottom="0.75" header="0.3" footer="0.3"/>
  <pageSetup paperSize="9" orientation="portrait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Подвесная</vt:lpstr>
      <vt:lpstr>Подвесная угловая</vt:lpstr>
      <vt:lpstr>Складная</vt:lpstr>
      <vt:lpstr>Распашная</vt:lpstr>
      <vt:lpstr>Стационарная</vt:lpstr>
      <vt:lpstr>Цены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George Pisarev</dc:creator>
  <cp:lastModifiedBy>Прун Алина Александровна</cp:lastModifiedBy>
  <cp:lastPrinted>2022-05-14T19:52:51Z</cp:lastPrinted>
  <dcterms:created xsi:type="dcterms:W3CDTF">2015-02-11T05:31:15Z</dcterms:created>
  <dcterms:modified xsi:type="dcterms:W3CDTF">2023-08-21T12:45:32Z</dcterms:modified>
</cp:coreProperties>
</file>