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a_prun\Desktop\"/>
    </mc:Choice>
  </mc:AlternateContent>
  <bookViews>
    <workbookView xWindow="0" yWindow="0" windowWidth="23040" windowHeight="9192" tabRatio="681"/>
  </bookViews>
  <sheets>
    <sheet name="Подвесная" sheetId="5" r:id="rId1"/>
    <sheet name="Распашная" sheetId="3" r:id="rId2"/>
    <sheet name="Цены" sheetId="9" r:id="rId3"/>
  </sheets>
  <calcPr calcId="162913"/>
</workbook>
</file>

<file path=xl/calcChain.xml><?xml version="1.0" encoding="utf-8"?>
<calcChain xmlns="http://schemas.openxmlformats.org/spreadsheetml/2006/main">
  <c r="O26" i="5" l="1"/>
  <c r="O23" i="5" s="1"/>
  <c r="O28" i="5"/>
  <c r="O27" i="5"/>
  <c r="O25" i="5"/>
  <c r="K5" i="5" l="1"/>
  <c r="O24" i="5" s="1"/>
  <c r="E9" i="5" l="1"/>
  <c r="O23" i="3" l="1"/>
  <c r="O22" i="3"/>
  <c r="M12" i="3"/>
  <c r="L11" i="3" l="1"/>
  <c r="K5" i="3"/>
  <c r="F25" i="3" s="1"/>
  <c r="O33" i="3"/>
  <c r="O28" i="3"/>
  <c r="L13" i="5"/>
  <c r="L14" i="5"/>
  <c r="F22" i="3" l="1"/>
  <c r="L10" i="3"/>
  <c r="F23" i="3"/>
  <c r="F24" i="3"/>
  <c r="F21" i="3"/>
  <c r="F23" i="5"/>
  <c r="F24" i="5"/>
  <c r="F25" i="5"/>
  <c r="F22" i="5"/>
  <c r="F26" i="5"/>
  <c r="O186" i="9"/>
  <c r="O187" i="9"/>
  <c r="O188" i="9"/>
  <c r="K188" i="9"/>
  <c r="J188" i="9" s="1"/>
  <c r="K187" i="9"/>
  <c r="J187" i="9"/>
  <c r="K186" i="9"/>
  <c r="J186" i="9" s="1"/>
  <c r="O185" i="9"/>
  <c r="K185" i="9"/>
  <c r="J185" i="9" s="1"/>
  <c r="V10" i="3" l="1"/>
  <c r="AJ10" i="3" s="1"/>
  <c r="W10" i="3"/>
  <c r="Y10" i="3"/>
  <c r="AM10" i="3" s="1"/>
  <c r="Z10" i="3"/>
  <c r="AB10" i="3"/>
  <c r="AC10" i="3"/>
  <c r="AF10" i="3"/>
  <c r="V11" i="3"/>
  <c r="AJ11" i="3" s="1"/>
  <c r="AC11" i="3"/>
  <c r="AQ11" i="3" s="1"/>
  <c r="U12" i="3"/>
  <c r="V12" i="3"/>
  <c r="AJ12" i="3" s="1"/>
  <c r="W12" i="3"/>
  <c r="X12" i="3"/>
  <c r="AL12" i="3" s="1"/>
  <c r="Y12" i="3"/>
  <c r="AA12" i="3"/>
  <c r="AB12" i="3"/>
  <c r="AP12" i="3" s="1"/>
  <c r="AC12" i="3"/>
  <c r="AD12" i="3"/>
  <c r="AE12" i="3"/>
  <c r="V9" i="3"/>
  <c r="W9" i="3"/>
  <c r="X9" i="3"/>
  <c r="Y9" i="3"/>
  <c r="Z9" i="3"/>
  <c r="AA9" i="3"/>
  <c r="AB9" i="3"/>
  <c r="AC9" i="3"/>
  <c r="AD9" i="3"/>
  <c r="AE9" i="3"/>
  <c r="U9" i="3"/>
  <c r="AK10" i="3"/>
  <c r="AN10" i="3"/>
  <c r="AP10" i="3"/>
  <c r="AQ10" i="3"/>
  <c r="AT10" i="3"/>
  <c r="AI12" i="3"/>
  <c r="AK12" i="3"/>
  <c r="AM12" i="3"/>
  <c r="AO12" i="3"/>
  <c r="AQ12" i="3"/>
  <c r="AR12" i="3"/>
  <c r="AS12" i="3"/>
  <c r="BN43" i="3"/>
  <c r="BL44" i="3"/>
  <c r="BM44" i="3"/>
  <c r="BN44" i="3"/>
  <c r="BQ44" i="3"/>
  <c r="BR44" i="3"/>
  <c r="BN42" i="3"/>
  <c r="BO42" i="3"/>
  <c r="BP42" i="3"/>
  <c r="BQ42" i="3"/>
  <c r="BR42" i="3"/>
  <c r="BN32" i="3"/>
  <c r="BL33" i="3"/>
  <c r="BM33" i="3"/>
  <c r="BN33" i="3"/>
  <c r="BQ33" i="3"/>
  <c r="BR33" i="3"/>
  <c r="BN31" i="3"/>
  <c r="BO31" i="3"/>
  <c r="BP31" i="3"/>
  <c r="BQ31" i="3"/>
  <c r="BR31" i="3"/>
  <c r="AI10" i="5"/>
  <c r="V14" i="5" l="1"/>
  <c r="AJ14" i="5" s="1"/>
  <c r="AC14" i="5"/>
  <c r="AQ14" i="5" s="1"/>
  <c r="V13" i="5"/>
  <c r="AJ13" i="5" s="1"/>
  <c r="W13" i="5"/>
  <c r="AK13" i="5" s="1"/>
  <c r="Z13" i="5"/>
  <c r="AN13" i="5" s="1"/>
  <c r="AB13" i="5"/>
  <c r="AP13" i="5" s="1"/>
  <c r="AC13" i="5"/>
  <c r="AQ13" i="5" s="1"/>
  <c r="AF13" i="5"/>
  <c r="AT13" i="5" s="1"/>
  <c r="V11" i="5"/>
  <c r="AJ11" i="5" s="1"/>
  <c r="W11" i="5"/>
  <c r="AK11" i="5" s="1"/>
  <c r="X11" i="5"/>
  <c r="AL11" i="5" s="1"/>
  <c r="Z11" i="5"/>
  <c r="AN11" i="5" s="1"/>
  <c r="AA11" i="5"/>
  <c r="AO11" i="5" s="1"/>
  <c r="AB11" i="5"/>
  <c r="AP11" i="5" s="1"/>
  <c r="AC11" i="5"/>
  <c r="AQ11" i="5" s="1"/>
  <c r="AD11" i="5"/>
  <c r="AR11" i="5" s="1"/>
  <c r="AF11" i="5"/>
  <c r="AT11" i="5" s="1"/>
  <c r="U11" i="5"/>
  <c r="AI11" i="5" s="1"/>
  <c r="V10" i="5"/>
  <c r="AJ10" i="5" s="1"/>
  <c r="W10" i="5"/>
  <c r="AK10" i="5" s="1"/>
  <c r="X10" i="5"/>
  <c r="AL10" i="5" s="1"/>
  <c r="Z10" i="5"/>
  <c r="AN10" i="5" s="1"/>
  <c r="AA10" i="5"/>
  <c r="AO10" i="5" s="1"/>
  <c r="AB10" i="5"/>
  <c r="AP10" i="5" s="1"/>
  <c r="AC10" i="5"/>
  <c r="AQ10" i="5" s="1"/>
  <c r="AD10" i="5"/>
  <c r="AR10" i="5" s="1"/>
  <c r="AF10" i="5"/>
  <c r="AT10" i="5" s="1"/>
  <c r="U10" i="5"/>
  <c r="V9" i="5"/>
  <c r="W9" i="5"/>
  <c r="X9" i="5"/>
  <c r="Y9" i="5"/>
  <c r="Z9" i="5"/>
  <c r="AA9" i="5"/>
  <c r="AB9" i="5"/>
  <c r="AC9" i="5"/>
  <c r="AD9" i="5"/>
  <c r="AE9" i="5"/>
  <c r="U9" i="5"/>
  <c r="BV67" i="5" l="1"/>
  <c r="BV73" i="3" s="1"/>
  <c r="BV69" i="5"/>
  <c r="BV70" i="5"/>
  <c r="BV71" i="5"/>
  <c r="BV72" i="5"/>
  <c r="BV77" i="3" s="1"/>
  <c r="K94" i="9"/>
  <c r="J94" i="9" s="1"/>
  <c r="K95" i="9"/>
  <c r="J95" i="9" s="1"/>
  <c r="K96" i="9"/>
  <c r="J96" i="9" s="1"/>
  <c r="K97" i="9"/>
  <c r="J97" i="9" s="1"/>
  <c r="K98" i="9"/>
  <c r="J98" i="9" s="1"/>
  <c r="O94" i="9"/>
  <c r="O95" i="9"/>
  <c r="O96" i="9"/>
  <c r="O97" i="9"/>
  <c r="O98" i="9"/>
  <c r="K80" i="9"/>
  <c r="J80" i="9" s="1"/>
  <c r="K81" i="9"/>
  <c r="J81" i="9" s="1"/>
  <c r="K82" i="9"/>
  <c r="J82" i="9" s="1"/>
  <c r="K83" i="9"/>
  <c r="J83" i="9" s="1"/>
  <c r="K84" i="9"/>
  <c r="J84" i="9" s="1"/>
  <c r="O80" i="9"/>
  <c r="O81" i="9"/>
  <c r="O82" i="9"/>
  <c r="O83" i="9"/>
  <c r="O84" i="9"/>
  <c r="O70" i="9"/>
  <c r="O71" i="9"/>
  <c r="O58" i="9"/>
  <c r="O59" i="9"/>
  <c r="O60" i="9"/>
  <c r="O61" i="9"/>
  <c r="O62" i="9"/>
  <c r="O45" i="9"/>
  <c r="O46" i="9"/>
  <c r="O47" i="9"/>
  <c r="O48" i="9"/>
  <c r="O49" i="9"/>
  <c r="O27" i="9"/>
  <c r="O28" i="9"/>
  <c r="O29" i="9"/>
  <c r="O30" i="9"/>
  <c r="O31" i="9"/>
  <c r="O14" i="9"/>
  <c r="O15" i="9"/>
  <c r="O16" i="9"/>
  <c r="O17" i="9"/>
  <c r="O18" i="9"/>
  <c r="K70" i="9"/>
  <c r="J70" i="9" s="1"/>
  <c r="K71" i="9"/>
  <c r="J71" i="9" s="1"/>
  <c r="K58" i="9"/>
  <c r="J58" i="9" s="1"/>
  <c r="K59" i="9"/>
  <c r="J59" i="9" s="1"/>
  <c r="K60" i="9"/>
  <c r="J60" i="9" s="1"/>
  <c r="K61" i="9"/>
  <c r="J61" i="9" s="1"/>
  <c r="K62" i="9"/>
  <c r="J62" i="9" s="1"/>
  <c r="K45" i="9"/>
  <c r="J45" i="9" s="1"/>
  <c r="K46" i="9"/>
  <c r="J46" i="9" s="1"/>
  <c r="K47" i="9"/>
  <c r="J47" i="9" s="1"/>
  <c r="K48" i="9"/>
  <c r="J48" i="9" s="1"/>
  <c r="K49" i="9"/>
  <c r="J49" i="9" s="1"/>
  <c r="K27" i="9"/>
  <c r="J27" i="9" s="1"/>
  <c r="K28" i="9"/>
  <c r="J28" i="9" s="1"/>
  <c r="K29" i="9"/>
  <c r="J29" i="9" s="1"/>
  <c r="K30" i="9"/>
  <c r="J30" i="9" s="1"/>
  <c r="K31" i="9"/>
  <c r="J31" i="9" s="1"/>
  <c r="M10" i="3"/>
  <c r="BV76" i="3" l="1"/>
  <c r="BV75" i="3"/>
  <c r="BV74" i="3"/>
  <c r="O38" i="5"/>
  <c r="R38" i="5" s="1"/>
  <c r="K178" i="9" l="1"/>
  <c r="K179" i="9"/>
  <c r="M12" i="5" l="1"/>
  <c r="M11" i="5"/>
  <c r="M10" i="5"/>
  <c r="M9" i="5"/>
  <c r="L11" i="5"/>
  <c r="L10" i="5"/>
  <c r="L12" i="5" s="1"/>
  <c r="K4" i="5"/>
  <c r="BM11" i="5" l="1"/>
  <c r="M13" i="5"/>
  <c r="M14" i="5"/>
  <c r="BM35" i="5" l="1"/>
  <c r="BM23" i="5"/>
  <c r="BM46" i="5"/>
  <c r="O168" i="9"/>
  <c r="O169" i="9"/>
  <c r="O167" i="9"/>
  <c r="K169" i="9"/>
  <c r="J169" i="9" s="1"/>
  <c r="K168" i="9"/>
  <c r="J168" i="9" s="1"/>
  <c r="K167" i="9"/>
  <c r="J167" i="9" s="1"/>
  <c r="K6" i="9" l="1"/>
  <c r="J6" i="9" s="1"/>
  <c r="BT9" i="5" s="1" a="1"/>
  <c r="BT9" i="5" s="1"/>
  <c r="K37" i="9"/>
  <c r="J37" i="9" s="1"/>
  <c r="K32" i="9"/>
  <c r="J32" i="9" s="1"/>
  <c r="K19" i="9"/>
  <c r="J19" i="9" s="1"/>
  <c r="K50" i="9"/>
  <c r="J50" i="9" s="1"/>
  <c r="K85" i="9"/>
  <c r="J85" i="9" s="1"/>
  <c r="K184" i="9"/>
  <c r="J184" i="9" s="1"/>
  <c r="K177" i="9"/>
  <c r="J177" i="9" s="1"/>
  <c r="J178" i="9"/>
  <c r="K171" i="9"/>
  <c r="J171" i="9" s="1"/>
  <c r="K132" i="9"/>
  <c r="J132" i="9" s="1"/>
  <c r="K161" i="9"/>
  <c r="J161" i="9" s="1"/>
  <c r="K180" i="9"/>
  <c r="J180" i="9" s="1"/>
  <c r="K176" i="9"/>
  <c r="J176" i="9" s="1"/>
  <c r="K131" i="9"/>
  <c r="J131" i="9" s="1"/>
  <c r="K103" i="9"/>
  <c r="J103" i="9" s="1"/>
  <c r="K86" i="9"/>
  <c r="J86" i="9" s="1"/>
  <c r="J11" i="3"/>
  <c r="BM11" i="3"/>
  <c r="BM21" i="3" s="1"/>
  <c r="BM32" i="3" s="1"/>
  <c r="BM43" i="3" s="1"/>
  <c r="M11" i="3"/>
  <c r="O24" i="3" s="1"/>
  <c r="O27" i="3" s="1"/>
  <c r="K4" i="3"/>
  <c r="L9" i="3" s="1"/>
  <c r="M9" i="3"/>
  <c r="K34" i="9"/>
  <c r="J34" i="9" s="1"/>
  <c r="BT12" i="3" s="1" a="1"/>
  <c r="BT12" i="3" s="1"/>
  <c r="O25" i="3"/>
  <c r="CA4" i="3"/>
  <c r="O29" i="3"/>
  <c r="K121" i="9"/>
  <c r="J121" i="9" s="1"/>
  <c r="K124" i="9"/>
  <c r="J124" i="9" s="1"/>
  <c r="K156" i="9"/>
  <c r="J156" i="9" s="1"/>
  <c r="K174" i="9"/>
  <c r="J174" i="9" s="1"/>
  <c r="K175" i="9"/>
  <c r="J175" i="9" s="1"/>
  <c r="K100" i="9"/>
  <c r="J100" i="9" s="1"/>
  <c r="K104" i="9"/>
  <c r="J104" i="9" s="1"/>
  <c r="K118" i="9"/>
  <c r="J118" i="9" s="1"/>
  <c r="K147" i="9"/>
  <c r="J147" i="9" s="1"/>
  <c r="T10" i="3"/>
  <c r="T12" i="3"/>
  <c r="T9" i="3"/>
  <c r="L9" i="5"/>
  <c r="K63" i="9"/>
  <c r="J63" i="9" s="1"/>
  <c r="K151" i="9"/>
  <c r="J151" i="9" s="1"/>
  <c r="K157" i="9"/>
  <c r="J157" i="9" s="1"/>
  <c r="K149" i="9"/>
  <c r="J149" i="9" s="1"/>
  <c r="K158" i="9"/>
  <c r="J158" i="9" s="1"/>
  <c r="K129" i="9"/>
  <c r="J129" i="9" s="1"/>
  <c r="K130" i="9"/>
  <c r="J130" i="9" s="1"/>
  <c r="K111" i="9"/>
  <c r="J111" i="9" s="1"/>
  <c r="K128" i="9"/>
  <c r="J128" i="9" s="1"/>
  <c r="K152" i="9"/>
  <c r="J152" i="9" s="1"/>
  <c r="K117" i="9"/>
  <c r="J117" i="9" s="1"/>
  <c r="K146" i="9"/>
  <c r="J146" i="9" s="1"/>
  <c r="J14" i="5"/>
  <c r="O29" i="5"/>
  <c r="T10" i="5"/>
  <c r="T11" i="5"/>
  <c r="T12" i="5"/>
  <c r="T13" i="5"/>
  <c r="T9" i="5"/>
  <c r="BV50" i="5"/>
  <c r="K72" i="9"/>
  <c r="J72" i="9" s="1"/>
  <c r="BV51" i="5"/>
  <c r="BV78" i="5"/>
  <c r="BV75" i="5"/>
  <c r="BV77" i="5"/>
  <c r="BV71" i="3" s="1"/>
  <c r="K150" i="9"/>
  <c r="J150" i="9" s="1"/>
  <c r="K136" i="9"/>
  <c r="J136" i="9" s="1"/>
  <c r="K137" i="9"/>
  <c r="J137" i="9" s="1"/>
  <c r="K143" i="9"/>
  <c r="J143" i="9" s="1"/>
  <c r="K155" i="9"/>
  <c r="J155" i="9" s="1"/>
  <c r="K165" i="9"/>
  <c r="K148" i="9"/>
  <c r="J148" i="9" s="1"/>
  <c r="K107" i="9"/>
  <c r="J107" i="9" s="1"/>
  <c r="O30" i="5"/>
  <c r="CF6" i="5"/>
  <c r="G23" i="5"/>
  <c r="G24" i="5"/>
  <c r="G25" i="5"/>
  <c r="G26" i="5"/>
  <c r="O32" i="5"/>
  <c r="O33" i="5"/>
  <c r="O34" i="5"/>
  <c r="O37" i="5"/>
  <c r="K114" i="9"/>
  <c r="J114" i="9" s="1"/>
  <c r="K134" i="9"/>
  <c r="J134" i="9" s="1"/>
  <c r="O134" i="9"/>
  <c r="K119" i="9"/>
  <c r="J119" i="9" s="1"/>
  <c r="K120" i="9"/>
  <c r="J120" i="9" s="1"/>
  <c r="O118" i="9"/>
  <c r="O119" i="9"/>
  <c r="O120" i="9"/>
  <c r="K181" i="9"/>
  <c r="J181" i="9" s="1"/>
  <c r="O181" i="9"/>
  <c r="K182" i="9"/>
  <c r="J182" i="9" s="1"/>
  <c r="O182" i="9"/>
  <c r="K183" i="9"/>
  <c r="J183" i="9" s="1"/>
  <c r="O183" i="9"/>
  <c r="K172" i="9"/>
  <c r="J172" i="9" s="1"/>
  <c r="O172" i="9"/>
  <c r="K173" i="9"/>
  <c r="J173" i="9" s="1"/>
  <c r="O173" i="9"/>
  <c r="O32" i="3"/>
  <c r="K166" i="9"/>
  <c r="J166" i="9" s="1"/>
  <c r="O166" i="9"/>
  <c r="K162" i="9"/>
  <c r="J162" i="9" s="1"/>
  <c r="O162" i="9"/>
  <c r="K163" i="9"/>
  <c r="J163" i="9" s="1"/>
  <c r="O163" i="9"/>
  <c r="K164" i="9"/>
  <c r="J164" i="9" s="1"/>
  <c r="O164" i="9"/>
  <c r="K153" i="9"/>
  <c r="J153" i="9" s="1"/>
  <c r="O153" i="9"/>
  <c r="K154" i="9"/>
  <c r="J154" i="9" s="1"/>
  <c r="O154" i="9"/>
  <c r="K144" i="9"/>
  <c r="J144" i="9" s="1"/>
  <c r="O144" i="9"/>
  <c r="K145" i="9"/>
  <c r="J145" i="9" s="1"/>
  <c r="O145" i="9"/>
  <c r="K138" i="9"/>
  <c r="J138" i="9" s="1"/>
  <c r="O138" i="9"/>
  <c r="K139" i="9"/>
  <c r="J139" i="9" s="1"/>
  <c r="O139" i="9"/>
  <c r="K140" i="9"/>
  <c r="J140" i="9" s="1"/>
  <c r="O140" i="9"/>
  <c r="K141" i="9"/>
  <c r="J141" i="9" s="1"/>
  <c r="O141" i="9"/>
  <c r="K142" i="9"/>
  <c r="J142" i="9" s="1"/>
  <c r="O142" i="9"/>
  <c r="K133" i="9"/>
  <c r="J133" i="9" s="1"/>
  <c r="O133" i="9"/>
  <c r="K135" i="9"/>
  <c r="J135" i="9" s="1"/>
  <c r="O135" i="9"/>
  <c r="K125" i="9"/>
  <c r="J125" i="9" s="1"/>
  <c r="O125" i="9"/>
  <c r="K126" i="9"/>
  <c r="J126" i="9" s="1"/>
  <c r="O126" i="9"/>
  <c r="K127" i="9"/>
  <c r="J127" i="9" s="1"/>
  <c r="O127" i="9"/>
  <c r="K122" i="9"/>
  <c r="J122" i="9" s="1"/>
  <c r="O122" i="9"/>
  <c r="K123" i="9"/>
  <c r="J123" i="9" s="1"/>
  <c r="O123" i="9"/>
  <c r="K115" i="9"/>
  <c r="J115" i="9" s="1"/>
  <c r="O115" i="9"/>
  <c r="K116" i="9"/>
  <c r="J116" i="9" s="1"/>
  <c r="O116" i="9"/>
  <c r="K112" i="9"/>
  <c r="J112" i="9" s="1"/>
  <c r="O112" i="9"/>
  <c r="K113" i="9"/>
  <c r="J113" i="9" s="1"/>
  <c r="O113" i="9"/>
  <c r="K108" i="9"/>
  <c r="J108" i="9" s="1"/>
  <c r="O108" i="9"/>
  <c r="K109" i="9"/>
  <c r="J109" i="9" s="1"/>
  <c r="O109" i="9"/>
  <c r="K110" i="9"/>
  <c r="J110" i="9" s="1"/>
  <c r="O110" i="9"/>
  <c r="K105" i="9"/>
  <c r="J105" i="9" s="1"/>
  <c r="O105" i="9"/>
  <c r="K106" i="9"/>
  <c r="J106" i="9" s="1"/>
  <c r="O106" i="9"/>
  <c r="K101" i="9"/>
  <c r="J101" i="9" s="1"/>
  <c r="O101" i="9"/>
  <c r="K102" i="9"/>
  <c r="J102" i="9" s="1"/>
  <c r="O102" i="9"/>
  <c r="K89" i="9"/>
  <c r="J89" i="9" s="1"/>
  <c r="O89" i="9"/>
  <c r="K90" i="9"/>
  <c r="J90" i="9" s="1"/>
  <c r="O90" i="9"/>
  <c r="K91" i="9"/>
  <c r="J91" i="9" s="1"/>
  <c r="O91" i="9"/>
  <c r="K92" i="9"/>
  <c r="J92" i="9" s="1"/>
  <c r="O92" i="9"/>
  <c r="K93" i="9"/>
  <c r="J93" i="9" s="1"/>
  <c r="O93" i="9"/>
  <c r="K76" i="9"/>
  <c r="J76" i="9" s="1"/>
  <c r="O76" i="9"/>
  <c r="K77" i="9"/>
  <c r="J77" i="9" s="1"/>
  <c r="O77" i="9"/>
  <c r="K78" i="9"/>
  <c r="J78" i="9" s="1"/>
  <c r="O78" i="9"/>
  <c r="K79" i="9"/>
  <c r="J79" i="9" s="1"/>
  <c r="O79" i="9"/>
  <c r="K66" i="9"/>
  <c r="J66" i="9" s="1"/>
  <c r="O66" i="9"/>
  <c r="K67" i="9"/>
  <c r="J67" i="9" s="1"/>
  <c r="O67" i="9"/>
  <c r="K68" i="9"/>
  <c r="J68" i="9" s="1"/>
  <c r="O68" i="9"/>
  <c r="K69" i="9"/>
  <c r="J69" i="9" s="1"/>
  <c r="O69" i="9"/>
  <c r="K54" i="9"/>
  <c r="J54" i="9" s="1"/>
  <c r="O54" i="9"/>
  <c r="K55" i="9"/>
  <c r="J55" i="9" s="1"/>
  <c r="O55" i="9"/>
  <c r="K56" i="9"/>
  <c r="J56" i="9" s="1"/>
  <c r="O56" i="9"/>
  <c r="K57" i="9"/>
  <c r="J57" i="9" s="1"/>
  <c r="O57" i="9"/>
  <c r="O44" i="9"/>
  <c r="K44" i="9"/>
  <c r="J44" i="9" s="1"/>
  <c r="O43" i="9"/>
  <c r="K43" i="9"/>
  <c r="J43" i="9" s="1"/>
  <c r="O42" i="9"/>
  <c r="K42" i="9"/>
  <c r="J42" i="9" s="1"/>
  <c r="O41" i="9"/>
  <c r="K41" i="9"/>
  <c r="J41" i="9" s="1"/>
  <c r="K23" i="9"/>
  <c r="J23" i="9" s="1"/>
  <c r="O23" i="9"/>
  <c r="K24" i="9"/>
  <c r="J24" i="9" s="1"/>
  <c r="O24" i="9"/>
  <c r="K25" i="9"/>
  <c r="J25" i="9" s="1"/>
  <c r="O25" i="9"/>
  <c r="K26" i="9"/>
  <c r="J26" i="9" s="1"/>
  <c r="O26" i="9"/>
  <c r="O10" i="9"/>
  <c r="O11" i="9"/>
  <c r="O12" i="9"/>
  <c r="O13" i="9"/>
  <c r="L12" i="3"/>
  <c r="BV73" i="5"/>
  <c r="BV74" i="5"/>
  <c r="BV76" i="5"/>
  <c r="O130" i="9"/>
  <c r="O165" i="9"/>
  <c r="O86" i="9"/>
  <c r="K88" i="9"/>
  <c r="J88" i="9" s="1"/>
  <c r="K87" i="9"/>
  <c r="J87" i="9" s="1"/>
  <c r="O88" i="9"/>
  <c r="O87" i="9"/>
  <c r="O124" i="9"/>
  <c r="O72" i="9"/>
  <c r="O73" i="9"/>
  <c r="K73" i="9"/>
  <c r="J73" i="9" s="1"/>
  <c r="K74" i="9"/>
  <c r="J74" i="9" s="1"/>
  <c r="O74" i="9"/>
  <c r="O52" i="9"/>
  <c r="K52" i="9"/>
  <c r="J52" i="9" s="1"/>
  <c r="O21" i="9"/>
  <c r="K21" i="9"/>
  <c r="J21" i="9" s="1"/>
  <c r="O8" i="9"/>
  <c r="O39" i="9"/>
  <c r="K39" i="9"/>
  <c r="J39" i="9" s="1"/>
  <c r="K159" i="9"/>
  <c r="J159" i="9" s="1"/>
  <c r="K160" i="9"/>
  <c r="J160" i="9" s="1"/>
  <c r="K75" i="9"/>
  <c r="J75" i="9" s="1"/>
  <c r="K65" i="9"/>
  <c r="J65" i="9" s="1"/>
  <c r="K64" i="9"/>
  <c r="J64" i="9" s="1"/>
  <c r="K53" i="9"/>
  <c r="J53" i="9" s="1"/>
  <c r="K51" i="9"/>
  <c r="J51" i="9" s="1"/>
  <c r="K40" i="9"/>
  <c r="J40" i="9" s="1"/>
  <c r="K33" i="9"/>
  <c r="J33" i="9" s="1"/>
  <c r="K35" i="9"/>
  <c r="J35" i="9" s="1"/>
  <c r="K36" i="9"/>
  <c r="J36" i="9" s="1"/>
  <c r="K38" i="9"/>
  <c r="J38" i="9" s="1"/>
  <c r="K22" i="9"/>
  <c r="J22" i="9" s="1"/>
  <c r="K20" i="9"/>
  <c r="J20" i="9" s="1"/>
  <c r="O174" i="9"/>
  <c r="O175" i="9"/>
  <c r="O176" i="9"/>
  <c r="O177" i="9"/>
  <c r="O178" i="9"/>
  <c r="O179" i="9"/>
  <c r="O180" i="9"/>
  <c r="O184" i="9"/>
  <c r="O171" i="9"/>
  <c r="O156" i="9"/>
  <c r="O157" i="9"/>
  <c r="O158" i="9"/>
  <c r="O159" i="9"/>
  <c r="O160" i="9"/>
  <c r="O161" i="9"/>
  <c r="O155" i="9"/>
  <c r="O152" i="9"/>
  <c r="O147" i="9"/>
  <c r="O148" i="9"/>
  <c r="O149" i="9"/>
  <c r="O150" i="9"/>
  <c r="O151" i="9"/>
  <c r="O146" i="9"/>
  <c r="O143" i="9"/>
  <c r="O137" i="9"/>
  <c r="O136" i="9"/>
  <c r="O132" i="9"/>
  <c r="O129" i="9"/>
  <c r="O131" i="9"/>
  <c r="O128" i="9"/>
  <c r="O121" i="9"/>
  <c r="O114" i="9"/>
  <c r="O117" i="9"/>
  <c r="O111" i="9"/>
  <c r="O107" i="9"/>
  <c r="O104" i="9"/>
  <c r="O103" i="9"/>
  <c r="O100" i="9"/>
  <c r="O85" i="9"/>
  <c r="O75" i="9"/>
  <c r="O65" i="9"/>
  <c r="O63" i="9"/>
  <c r="O64" i="9"/>
  <c r="O53" i="9"/>
  <c r="O50" i="9"/>
  <c r="O51" i="9"/>
  <c r="O40" i="9"/>
  <c r="O32" i="9"/>
  <c r="O33" i="9"/>
  <c r="O34" i="9"/>
  <c r="O35" i="9"/>
  <c r="O36" i="9"/>
  <c r="O37" i="9"/>
  <c r="O38" i="9"/>
  <c r="O22" i="9"/>
  <c r="O20" i="9"/>
  <c r="O19" i="9"/>
  <c r="O34" i="3"/>
  <c r="O21" i="3"/>
  <c r="O20" i="3"/>
  <c r="O19" i="3"/>
  <c r="BZ26" i="3"/>
  <c r="BZ25" i="3"/>
  <c r="BZ24" i="3"/>
  <c r="BZ23" i="3"/>
  <c r="C17" i="3"/>
  <c r="G25" i="3"/>
  <c r="G24" i="3"/>
  <c r="G23" i="3"/>
  <c r="G22" i="3"/>
  <c r="G21" i="3"/>
  <c r="J179" i="9"/>
  <c r="CB27" i="5"/>
  <c r="CB28" i="5"/>
  <c r="CB29" i="5"/>
  <c r="CB30" i="5"/>
  <c r="C18" i="5"/>
  <c r="D18" i="5" s="1"/>
  <c r="K7" i="9"/>
  <c r="J7" i="9" s="1"/>
  <c r="O7" i="9"/>
  <c r="O6" i="9"/>
  <c r="O9" i="9"/>
  <c r="O9" i="3" l="1"/>
  <c r="BK9" i="3" s="1"/>
  <c r="AF9" i="3" s="1"/>
  <c r="E21" i="3"/>
  <c r="BZ22" i="3" s="1"/>
  <c r="C31" i="3" s="1"/>
  <c r="R20" i="3"/>
  <c r="O30" i="3"/>
  <c r="O31" i="3" s="1"/>
  <c r="R31" i="3" s="1"/>
  <c r="AY9" i="3"/>
  <c r="R32" i="3"/>
  <c r="R19" i="3"/>
  <c r="R34" i="3"/>
  <c r="R21" i="3"/>
  <c r="BT14" i="5" a="1"/>
  <c r="BT14" i="5" s="1"/>
  <c r="BT10" i="5" a="1"/>
  <c r="BT10" i="5" s="1"/>
  <c r="BT11" i="5" a="1"/>
  <c r="BT11" i="5" s="1"/>
  <c r="BT9" i="3" a="1"/>
  <c r="BT9" i="3" s="1"/>
  <c r="BT10" i="3" a="1"/>
  <c r="BT10" i="3" s="1"/>
  <c r="BT13" i="5" a="1"/>
  <c r="BT13" i="5" s="1"/>
  <c r="K11" i="3"/>
  <c r="BT11" i="3" a="1"/>
  <c r="BT11" i="3" s="1"/>
  <c r="BP11" i="3"/>
  <c r="BP21" i="3" s="1"/>
  <c r="BP32" i="3" s="1"/>
  <c r="BP43" i="3" s="1"/>
  <c r="T14" i="5"/>
  <c r="AY12" i="3"/>
  <c r="O12" i="3"/>
  <c r="R12" i="3" s="1"/>
  <c r="N12" i="3"/>
  <c r="BO12" i="3" s="1"/>
  <c r="AY13" i="3"/>
  <c r="N11" i="3"/>
  <c r="T11" i="3"/>
  <c r="BV70" i="3"/>
  <c r="BV66" i="3"/>
  <c r="BV65" i="3"/>
  <c r="K14" i="5"/>
  <c r="AY11" i="3"/>
  <c r="R33" i="3"/>
  <c r="O21" i="5"/>
  <c r="O22" i="5" s="1"/>
  <c r="R22" i="5" s="1"/>
  <c r="G22" i="5"/>
  <c r="BM10" i="5"/>
  <c r="R24" i="5"/>
  <c r="BM13" i="5"/>
  <c r="BV68" i="3"/>
  <c r="BV67" i="3"/>
  <c r="BV69" i="3"/>
  <c r="H25" i="5"/>
  <c r="R28" i="5"/>
  <c r="N11" i="5"/>
  <c r="N10" i="5"/>
  <c r="BP14" i="5"/>
  <c r="BP26" i="5" s="1"/>
  <c r="BP38" i="5" s="1"/>
  <c r="BP49" i="5" s="1"/>
  <c r="R27" i="5"/>
  <c r="AY9" i="5"/>
  <c r="O35" i="5"/>
  <c r="O36" i="5" s="1"/>
  <c r="R36" i="5" s="1"/>
  <c r="O9" i="5"/>
  <c r="E22" i="5"/>
  <c r="BV72" i="3"/>
  <c r="R24" i="3"/>
  <c r="R37" i="5"/>
  <c r="R25" i="5"/>
  <c r="R23" i="3"/>
  <c r="R25" i="3"/>
  <c r="R30" i="5"/>
  <c r="J165" i="9"/>
  <c r="R28" i="3"/>
  <c r="R33" i="5"/>
  <c r="R22" i="3"/>
  <c r="R26" i="5"/>
  <c r="R34" i="5"/>
  <c r="R29" i="3"/>
  <c r="R32" i="5"/>
  <c r="R27" i="3"/>
  <c r="R30" i="3" l="1"/>
  <c r="BK19" i="3"/>
  <c r="BK30" i="3" s="1"/>
  <c r="BK41" i="3" s="1"/>
  <c r="R9" i="3"/>
  <c r="BM45" i="5"/>
  <c r="BM34" i="5"/>
  <c r="BM22" i="5"/>
  <c r="R9" i="5"/>
  <c r="AH9" i="5" s="1"/>
  <c r="C27" i="3"/>
  <c r="E27" i="3" s="1"/>
  <c r="BE12" i="3"/>
  <c r="Z12" i="3" s="1"/>
  <c r="AN12" i="3" s="1"/>
  <c r="BO11" i="3"/>
  <c r="BK11" i="3" s="1"/>
  <c r="BL11" i="3"/>
  <c r="BJ11" i="3" s="1"/>
  <c r="BO22" i="3"/>
  <c r="BP12" i="3"/>
  <c r="BP22" i="3" s="1"/>
  <c r="BP33" i="3" s="1"/>
  <c r="H21" i="3"/>
  <c r="O26" i="3"/>
  <c r="R26" i="3" s="1"/>
  <c r="AY28" i="3"/>
  <c r="AY31" i="3"/>
  <c r="H24" i="3"/>
  <c r="AY32" i="3"/>
  <c r="H25" i="3"/>
  <c r="AY10" i="3"/>
  <c r="AY14" i="3" s="1"/>
  <c r="N10" i="3"/>
  <c r="BM10" i="3"/>
  <c r="AY30" i="3"/>
  <c r="H23" i="3"/>
  <c r="AY29" i="3"/>
  <c r="H22" i="3"/>
  <c r="R23" i="5"/>
  <c r="R21" i="5"/>
  <c r="AY13" i="5"/>
  <c r="AY35" i="5"/>
  <c r="N13" i="5"/>
  <c r="BL13" i="5" s="1"/>
  <c r="BJ13" i="5" s="1"/>
  <c r="R29" i="5"/>
  <c r="BL11" i="5"/>
  <c r="R35" i="5"/>
  <c r="H24" i="5"/>
  <c r="AY34" i="5"/>
  <c r="BM25" i="5"/>
  <c r="BM37" i="5" s="1"/>
  <c r="BM48" i="5" s="1"/>
  <c r="BM14" i="5"/>
  <c r="AY14" i="5"/>
  <c r="AY15" i="5"/>
  <c r="N14" i="5"/>
  <c r="BL10" i="5"/>
  <c r="H23" i="5"/>
  <c r="AY33" i="5"/>
  <c r="H26" i="5"/>
  <c r="AY36" i="5"/>
  <c r="BK9" i="5"/>
  <c r="CB26" i="5"/>
  <c r="O31" i="5"/>
  <c r="R31" i="5" s="1"/>
  <c r="H22" i="5"/>
  <c r="AY32" i="5"/>
  <c r="R35" i="3" l="1"/>
  <c r="BP44" i="3"/>
  <c r="BK22" i="3"/>
  <c r="BO33" i="3"/>
  <c r="BK33" i="3" s="1"/>
  <c r="BE22" i="3"/>
  <c r="R39" i="5"/>
  <c r="BJ10" i="5"/>
  <c r="BL45" i="5"/>
  <c r="BL22" i="5"/>
  <c r="BL34" i="5"/>
  <c r="BK12" i="3"/>
  <c r="AF12" i="3" s="1"/>
  <c r="AT12" i="3" s="1"/>
  <c r="AU12" i="3" s="1"/>
  <c r="AG12" i="3" s="1"/>
  <c r="BJ11" i="5"/>
  <c r="BL46" i="5"/>
  <c r="BL35" i="5"/>
  <c r="BL23" i="5"/>
  <c r="AF9" i="5"/>
  <c r="BK33" i="5"/>
  <c r="BK21" i="5"/>
  <c r="BK44" i="5"/>
  <c r="AZ11" i="3"/>
  <c r="U11" i="3" s="1"/>
  <c r="BL21" i="3"/>
  <c r="BL32" i="3" s="1"/>
  <c r="BC11" i="3"/>
  <c r="BF11" i="3"/>
  <c r="O11" i="3"/>
  <c r="R11" i="3" s="1"/>
  <c r="BI11" i="3"/>
  <c r="BO21" i="3"/>
  <c r="BO32" i="3" s="1"/>
  <c r="BE11" i="3"/>
  <c r="BG11" i="3"/>
  <c r="BB11" i="3"/>
  <c r="W11" i="3" s="1"/>
  <c r="AY15" i="3"/>
  <c r="AY17" i="5"/>
  <c r="AY18" i="5" s="1"/>
  <c r="AH9" i="3"/>
  <c r="BL10" i="3"/>
  <c r="BM20" i="3"/>
  <c r="BM31" i="3" s="1"/>
  <c r="BM42" i="3" s="1"/>
  <c r="AY33" i="3"/>
  <c r="H26" i="3"/>
  <c r="BD11" i="5"/>
  <c r="O11" i="5"/>
  <c r="R11" i="5" s="1"/>
  <c r="AY37" i="5"/>
  <c r="BC13" i="5"/>
  <c r="X13" i="5" s="1"/>
  <c r="AL13" i="5" s="1"/>
  <c r="BI13" i="5"/>
  <c r="AD13" i="5" s="1"/>
  <c r="AR13" i="5" s="1"/>
  <c r="BF13" i="5"/>
  <c r="AA13" i="5" s="1"/>
  <c r="AO13" i="5" s="1"/>
  <c r="BL25" i="5"/>
  <c r="AZ13" i="5"/>
  <c r="U13" i="5" s="1"/>
  <c r="BM26" i="5"/>
  <c r="BM38" i="5" s="1"/>
  <c r="BM49" i="5" s="1"/>
  <c r="H27" i="5"/>
  <c r="BD10" i="5"/>
  <c r="BL14" i="5"/>
  <c r="BJ14" i="5" s="1"/>
  <c r="BO14" i="5"/>
  <c r="BK14" i="5" s="1"/>
  <c r="O13" i="5"/>
  <c r="R13" i="5" s="1"/>
  <c r="O10" i="5"/>
  <c r="R10" i="5" s="1"/>
  <c r="C28" i="5"/>
  <c r="D28" i="5" s="1"/>
  <c r="C32" i="5"/>
  <c r="BO44" i="3" l="1"/>
  <c r="BE44" i="3" s="1"/>
  <c r="BE33" i="3"/>
  <c r="BD34" i="5"/>
  <c r="BD22" i="5"/>
  <c r="BD45" i="5"/>
  <c r="BL37" i="5"/>
  <c r="BJ25" i="5"/>
  <c r="BJ22" i="5"/>
  <c r="BJ34" i="5"/>
  <c r="BJ45" i="5"/>
  <c r="X11" i="3"/>
  <c r="AL11" i="3" s="1"/>
  <c r="AD11" i="3"/>
  <c r="AR11" i="3" s="1"/>
  <c r="AB11" i="3"/>
  <c r="AP11" i="3" s="1"/>
  <c r="AA11" i="3"/>
  <c r="AO11" i="3" s="1"/>
  <c r="BE32" i="3"/>
  <c r="Z11" i="3" s="1"/>
  <c r="AN11" i="3" s="1"/>
  <c r="BK32" i="3"/>
  <c r="AF11" i="3" s="1"/>
  <c r="AT11" i="3" s="1"/>
  <c r="BD32" i="3"/>
  <c r="Y11" i="3" s="1"/>
  <c r="AM11" i="3" s="1"/>
  <c r="BJ32" i="3"/>
  <c r="AE11" i="3" s="1"/>
  <c r="AS11" i="3" s="1"/>
  <c r="AI11" i="3"/>
  <c r="BO43" i="3"/>
  <c r="AK11" i="3"/>
  <c r="BL43" i="3"/>
  <c r="BE21" i="3"/>
  <c r="BK21" i="3"/>
  <c r="BG21" i="3"/>
  <c r="BB21" i="3"/>
  <c r="O10" i="3"/>
  <c r="R10" i="3" s="1"/>
  <c r="R13" i="3" s="1"/>
  <c r="R37" i="3" s="1"/>
  <c r="BJ10" i="3"/>
  <c r="AE10" i="3" s="1"/>
  <c r="AS10" i="3" s="1"/>
  <c r="BA21" i="3"/>
  <c r="BD21" i="3"/>
  <c r="BJ21" i="3"/>
  <c r="BH21" i="3"/>
  <c r="BD46" i="5"/>
  <c r="BD35" i="5"/>
  <c r="BD23" i="5"/>
  <c r="BJ23" i="5"/>
  <c r="BJ46" i="5"/>
  <c r="BJ35" i="5"/>
  <c r="AE13" i="5"/>
  <c r="AS13" i="5" s="1"/>
  <c r="Y13" i="5"/>
  <c r="AM13" i="5" s="1"/>
  <c r="AI13" i="5"/>
  <c r="AH12" i="3"/>
  <c r="H36" i="3"/>
  <c r="BF10" i="3"/>
  <c r="AA10" i="3" s="1"/>
  <c r="AO10" i="3" s="1"/>
  <c r="BL20" i="3"/>
  <c r="BC10" i="3"/>
  <c r="X10" i="3" s="1"/>
  <c r="AL10" i="3" s="1"/>
  <c r="AZ10" i="3"/>
  <c r="U10" i="3" s="1"/>
  <c r="BI10" i="3"/>
  <c r="AD10" i="3" s="1"/>
  <c r="AR10" i="3" s="1"/>
  <c r="H37" i="5"/>
  <c r="BO26" i="5"/>
  <c r="BK26" i="5" s="1"/>
  <c r="BG14" i="5"/>
  <c r="AB14" i="5" s="1"/>
  <c r="AP14" i="5" s="1"/>
  <c r="BE14" i="5"/>
  <c r="BB14" i="5"/>
  <c r="BI14" i="5"/>
  <c r="AD14" i="5" s="1"/>
  <c r="AR14" i="5" s="1"/>
  <c r="AZ14" i="5"/>
  <c r="BL26" i="5"/>
  <c r="BJ26" i="5" s="1"/>
  <c r="BC14" i="5"/>
  <c r="X14" i="5" s="1"/>
  <c r="AL14" i="5" s="1"/>
  <c r="BF14" i="5"/>
  <c r="AA14" i="5" s="1"/>
  <c r="AO14" i="5" s="1"/>
  <c r="BA25" i="5"/>
  <c r="BH25" i="5"/>
  <c r="BD25" i="5"/>
  <c r="O14" i="5"/>
  <c r="R14" i="5" s="1"/>
  <c r="BR11" i="3" l="1"/>
  <c r="BK44" i="3"/>
  <c r="AI10" i="3"/>
  <c r="AU10" i="3" s="1"/>
  <c r="AG10" i="3" s="1"/>
  <c r="AH10" i="3"/>
  <c r="BJ20" i="3"/>
  <c r="BL31" i="3"/>
  <c r="BL48" i="5"/>
  <c r="BD37" i="5"/>
  <c r="BJ37" i="5"/>
  <c r="AW12" i="3"/>
  <c r="BQ11" i="3"/>
  <c r="AV12" i="3"/>
  <c r="AH11" i="3" s="1"/>
  <c r="BK43" i="3"/>
  <c r="BB43" i="3"/>
  <c r="BG43" i="3"/>
  <c r="BE43" i="3"/>
  <c r="BJ43" i="3"/>
  <c r="BD43" i="3"/>
  <c r="AU11" i="3"/>
  <c r="AG11" i="3" s="1"/>
  <c r="AE10" i="5"/>
  <c r="AS10" i="5" s="1"/>
  <c r="AU13" i="5"/>
  <c r="AG13" i="5" s="1"/>
  <c r="Y10" i="5"/>
  <c r="AH13" i="5"/>
  <c r="BO38" i="5"/>
  <c r="BK38" i="5" s="1"/>
  <c r="BB26" i="5"/>
  <c r="BL38" i="5"/>
  <c r="BJ38" i="5" s="1"/>
  <c r="BA26" i="5"/>
  <c r="AE11" i="5"/>
  <c r="AS11" i="5" s="1"/>
  <c r="Y11" i="5"/>
  <c r="AM11" i="5" s="1"/>
  <c r="U14" i="5"/>
  <c r="W14" i="5"/>
  <c r="BR21" i="3"/>
  <c r="BR32" i="3" s="1"/>
  <c r="BR43" i="3" s="1"/>
  <c r="BQ21" i="3"/>
  <c r="BA20" i="3"/>
  <c r="BH20" i="3"/>
  <c r="BD20" i="3"/>
  <c r="BH26" i="5"/>
  <c r="BD26" i="5"/>
  <c r="BE26" i="5"/>
  <c r="BG26" i="5"/>
  <c r="AH13" i="3" l="1"/>
  <c r="AH15" i="3" s="1"/>
  <c r="BJ31" i="3"/>
  <c r="BL42" i="3"/>
  <c r="BD31" i="3"/>
  <c r="BJ48" i="5"/>
  <c r="BD48" i="5"/>
  <c r="BQ32" i="3"/>
  <c r="BQ43" i="3" s="1"/>
  <c r="AH10" i="5"/>
  <c r="AM10" i="5"/>
  <c r="AU10" i="5" s="1"/>
  <c r="AG10" i="5" s="1"/>
  <c r="AH11" i="5"/>
  <c r="AU11" i="5"/>
  <c r="AG11" i="5" s="1"/>
  <c r="AK14" i="5"/>
  <c r="AI14" i="5"/>
  <c r="BL49" i="5"/>
  <c r="BJ49" i="5" s="1"/>
  <c r="BD38" i="5"/>
  <c r="AE14" i="5"/>
  <c r="AS14" i="5" s="1"/>
  <c r="BO49" i="5"/>
  <c r="BK49" i="5" s="1"/>
  <c r="BE38" i="5"/>
  <c r="Z14" i="5" s="1"/>
  <c r="AN14" i="5" s="1"/>
  <c r="AF14" i="5"/>
  <c r="AT14" i="5" s="1"/>
  <c r="R15" i="5"/>
  <c r="BD42" i="3" l="1"/>
  <c r="BJ42" i="3"/>
  <c r="AW15" i="5"/>
  <c r="Y14" i="5"/>
  <c r="BB49" i="5"/>
  <c r="BE49" i="5"/>
  <c r="BG49" i="5"/>
  <c r="BD49" i="5"/>
  <c r="AM14" i="5" l="1"/>
  <c r="AU14" i="5" s="1"/>
  <c r="AG14" i="5" s="1"/>
  <c r="AV15" i="5"/>
  <c r="AH14" i="5" s="1"/>
  <c r="AH15" i="5" s="1"/>
  <c r="AH17" i="5" s="1"/>
  <c r="R41" i="5"/>
</calcChain>
</file>

<file path=xl/sharedStrings.xml><?xml version="1.0" encoding="utf-8"?>
<sst xmlns="http://schemas.openxmlformats.org/spreadsheetml/2006/main" count="961" uniqueCount="459">
  <si>
    <t>наименование</t>
  </si>
  <si>
    <t>артикул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</si>
  <si>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</si>
  <si>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</si>
  <si>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</si>
  <si>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</si>
  <si>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</si>
  <si>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</si>
  <si>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</si>
  <si>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</si>
  <si>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</si>
  <si>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</si>
  <si>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одной двери:</t>
  </si>
  <si>
    <t>ширина одной двери:</t>
  </si>
  <si>
    <t>ручка-рейлинг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</si>
  <si>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</si>
  <si>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</si>
  <si>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</si>
  <si>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</si>
  <si>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</si>
  <si>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</si>
  <si>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</si>
  <si>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</si>
  <si>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</si>
  <si>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</si>
  <si>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</si>
  <si>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</si>
  <si>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</si>
  <si>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</si>
  <si>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</si>
  <si>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</si>
  <si>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</si>
  <si>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</si>
  <si>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</si>
  <si>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</si>
  <si>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</si>
  <si>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</si>
  <si>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</si>
  <si>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</si>
  <si>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</si>
  <si>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</si>
  <si>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</si>
  <si>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</si>
  <si>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</si>
  <si>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</si>
  <si>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</si>
  <si>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</si>
  <si>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</si>
  <si>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</si>
  <si>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</si>
  <si>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</si>
  <si>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</si>
  <si>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</si>
  <si>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</si>
  <si>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</si>
  <si>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</si>
  <si>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</si>
  <si>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</si>
  <si>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</si>
  <si>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</si>
  <si>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</si>
  <si>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</si>
  <si>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</si>
  <si>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</si>
  <si>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</si>
  <si>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</si>
  <si>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</si>
  <si>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</si>
  <si>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</si>
  <si>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</si>
  <si>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</si>
  <si>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</si>
  <si>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</si>
  <si>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</si>
  <si>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</si>
  <si>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</si>
  <si>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</si>
  <si>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</si>
  <si>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</si>
  <si>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</si>
  <si>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</si>
  <si>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</si>
  <si>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</si>
  <si>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</si>
  <si>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</si>
  <si>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</si>
  <si>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</si>
  <si>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</si>
  <si>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</si>
  <si>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</si>
  <si>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</si>
  <si>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</si>
  <si>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</si>
  <si>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</si>
  <si>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</si>
  <si>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</si>
  <si>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</si>
  <si>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</si>
  <si>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</si>
  <si>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</si>
  <si>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</si>
  <si>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</si>
  <si>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</si>
  <si>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</si>
  <si>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</si>
  <si>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</si>
  <si>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</si>
  <si>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</si>
  <si>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</si>
  <si>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</si>
  <si>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</si>
  <si>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</si>
  <si>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</si>
  <si>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</si>
  <si>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</si>
  <si>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</si>
  <si>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</si>
  <si>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</si>
  <si>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</si>
  <si>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</si>
  <si>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</si>
  <si>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</si>
  <si>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</si>
  <si>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</si>
  <si>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</si>
  <si>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</si>
  <si>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</si>
  <si>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</si>
  <si>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</si>
  <si>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</si>
  <si>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</si>
  <si>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</si>
  <si>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</si>
  <si>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</si>
  <si>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</si>
  <si>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</si>
  <si>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</si>
  <si>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</si>
  <si>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</si>
  <si>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</si>
  <si>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</si>
  <si>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</si>
  <si>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</si>
  <si>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</si>
  <si>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</si>
  <si>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</si>
  <si>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</si>
  <si>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</si>
  <si>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</si>
  <si>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</si>
  <si>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</si>
  <si>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</si>
  <si>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</si>
  <si>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</si>
  <si>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</si>
  <si>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</si>
  <si>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</si>
  <si>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</si>
  <si>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</si>
  <si>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</si>
  <si>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</si>
  <si>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</si>
  <si>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</si>
  <si>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</si>
  <si>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</si>
  <si>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</si>
  <si>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</si>
  <si>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</si>
  <si>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</si>
  <si>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</si>
  <si>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</si>
  <si>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</si>
  <si>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FA0410.VP500</t>
  </si>
  <si>
    <t>FA0682.VP508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</si>
  <si>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</si>
  <si>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</si>
  <si>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</si>
  <si>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</si>
  <si>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</si>
  <si>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</si>
  <si>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</si>
  <si>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</si>
  <si>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</si>
  <si>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</si>
  <si>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</si>
  <si>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</si>
  <si>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</si>
  <si>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</si>
  <si>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</si>
  <si>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</si>
  <si>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</si>
  <si>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</si>
  <si>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</si>
  <si>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</si>
  <si>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</si>
  <si>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</si>
  <si>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</si>
  <si>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FH0171.VP000</t>
  </si>
  <si>
    <t>Саморез 6×30</t>
  </si>
  <si>
    <t>FH0031.VP000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</si>
  <si>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</si>
  <si>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</si>
  <si>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</si>
  <si>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</si>
  <si>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</si>
  <si>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</si>
  <si>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</si>
  <si>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</si>
  <si>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</si>
  <si>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</si>
  <si>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</si>
  <si>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</si>
  <si>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</si>
  <si>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Шлегель, 9х9</t>
  </si>
  <si>
    <t>(1 уп. - 100 м.)</t>
  </si>
  <si>
    <t>Механизм для мультипоследовательного синхр. открывания 4ПДВ</t>
  </si>
  <si>
    <t>Фиксаторы мультипоследовательной синхр. открывания 4ПДВ</t>
  </si>
  <si>
    <t>Механизм послед. открывания 4ПДВ, левый/правый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</si>
  <si>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</si>
  <si>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</si>
  <si>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</si>
  <si>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</si>
  <si>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</si>
  <si>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</si>
  <si>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</si>
  <si>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</si>
  <si>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</si>
  <si>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</si>
  <si>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</si>
  <si>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</si>
  <si>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</si>
  <si>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</si>
  <si>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</si>
  <si>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</si>
  <si>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</si>
  <si>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</si>
  <si>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</si>
  <si>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</si>
  <si>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</si>
  <si>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</si>
  <si>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FA0418.VP540.WHMPC.CJ</t>
  </si>
  <si>
    <t>FA0427.AP540.WHKPP.RA</t>
  </si>
  <si>
    <t>FA0716.VP500.WHKPP.RA</t>
  </si>
  <si>
    <t>FA0682.VP508.WDRPV.RA</t>
  </si>
  <si>
    <t>FA0427.AP540.WDRPV.RA</t>
  </si>
  <si>
    <t>FA0715.VP500.WDRPV.RA</t>
  </si>
  <si>
    <t>FA0716.VP500.WDRPV.RA</t>
  </si>
  <si>
    <t>FA0682.VP508.OWDPV.RA</t>
  </si>
  <si>
    <t>FA0427.AP540.OWDPV.RA</t>
  </si>
  <si>
    <t>FA0715.VP500.OWDPV.RA</t>
  </si>
  <si>
    <t>FA0716.VP500.OWDPV.RA</t>
  </si>
  <si>
    <t>FA0682.VP508.IVMPP.RA</t>
  </si>
  <si>
    <t>FA0715.VP500.IVMPP.RA</t>
  </si>
  <si>
    <t>FA0716.VP500.IVMPP.RA</t>
  </si>
  <si>
    <t>FA0592.VP508.MRAPV.RA</t>
  </si>
  <si>
    <t>FA0427.AP540.MRAPV.RA</t>
  </si>
  <si>
    <t>FA0682.VP508.MCAPV.RA</t>
  </si>
  <si>
    <t>FA0427.AP540.MCAPV.RA</t>
  </si>
  <si>
    <t>FA0715.VP500.MCAPV.RA</t>
  </si>
  <si>
    <t>FA0716.VP500.MCAPV.RA</t>
  </si>
  <si>
    <t>FA0682.VP508.BKSPC.CJ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</si>
  <si>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</si>
  <si>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</si>
  <si>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</si>
  <si>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</si>
  <si>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</si>
  <si>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</si>
  <si>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</si>
  <si>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</si>
  <si>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</si>
  <si>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</si>
  <si>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</si>
  <si>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</si>
  <si>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</si>
  <si>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</si>
  <si>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</si>
  <si>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</si>
  <si>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</si>
  <si>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</si>
  <si>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</si>
  <si>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</si>
  <si>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</si>
  <si>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</si>
  <si>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</si>
  <si>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</si>
  <si>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</si>
  <si>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</si>
  <si>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</si>
  <si>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</si>
  <si>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</si>
  <si>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</si>
  <si>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</si>
  <si>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</si>
  <si>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</si>
  <si>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</si>
  <si>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</si>
  <si>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</si>
  <si>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</si>
  <si>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</si>
  <si>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</si>
  <si>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</si>
  <si>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</si>
  <si>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</si>
  <si>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</si>
  <si>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</si>
  <si>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</si>
  <si>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</si>
  <si>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</si>
  <si>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</si>
  <si>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</si>
  <si>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</si>
  <si>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</si>
  <si>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</si>
  <si>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</si>
  <si>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</si>
  <si>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</si>
  <si>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</si>
  <si>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</si>
  <si>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</si>
  <si>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</si>
  <si>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</si>
  <si>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</si>
  <si>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</si>
  <si>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</si>
  <si>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</si>
  <si>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</si>
  <si>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</si>
  <si>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</si>
  <si>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</si>
  <si>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</si>
  <si>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</si>
  <si>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</si>
  <si>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</si>
  <si>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</si>
  <si>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</si>
  <si>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</si>
  <si>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</si>
  <si>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</si>
  <si>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</si>
  <si>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</si>
  <si>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</si>
  <si>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</si>
  <si>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</si>
  <si>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</si>
  <si>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</si>
  <si>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</si>
  <si>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</si>
  <si>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</si>
  <si>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</si>
  <si>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</si>
  <si>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</si>
  <si>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</si>
  <si>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</si>
  <si>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</si>
  <si>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</si>
  <si>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</si>
  <si>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</si>
  <si>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</si>
  <si>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</si>
  <si>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</si>
  <si>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</si>
  <si>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</si>
  <si>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</si>
  <si>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</si>
  <si>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</si>
  <si>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</si>
  <si>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</si>
  <si>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</si>
  <si>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</si>
  <si>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</si>
  <si>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</si>
  <si>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</si>
  <si>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</si>
  <si>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</si>
  <si>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</si>
  <si>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</si>
  <si>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</si>
  <si>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</si>
  <si>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</si>
  <si>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</si>
  <si>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</si>
  <si>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</si>
  <si>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</si>
  <si>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Количество средних рамок для одной двери</t>
  </si>
  <si>
    <t>стандарт</t>
  </si>
  <si>
    <t>угловой профиль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</si>
  <si>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</si>
  <si>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</si>
  <si>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</si>
  <si>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</si>
  <si>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</si>
  <si>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</si>
  <si>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</si>
  <si>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</si>
  <si>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</si>
  <si>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</si>
  <si>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</si>
  <si>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</si>
  <si>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</si>
  <si>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</si>
  <si>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</si>
  <si>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</si>
  <si>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</si>
  <si>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</si>
  <si>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</si>
  <si>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</si>
  <si>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</si>
  <si>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</si>
  <si>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</si>
  <si>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</si>
  <si>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</si>
  <si>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FA0427.AP540.ANKPP.RA</t>
  </si>
  <si>
    <t>FA0715.VP500.ANKPV.RA</t>
  </si>
  <si>
    <t>FA0716.VP500.ANKPV.RA</t>
  </si>
  <si>
    <t>FA0715.VP500.WHKPP.RA</t>
  </si>
  <si>
    <t>FA0682.VP508.PRQPV.RA</t>
  </si>
  <si>
    <t>FA0715.VP500.PRQPV.RA</t>
  </si>
  <si>
    <t>FA0716.VP500.PRQPV.RA</t>
  </si>
  <si>
    <t>FA0682.VP508.PGQPV.RA</t>
  </si>
  <si>
    <t>FA0715.VP500.PGQPV.RA</t>
  </si>
  <si>
    <t>FA0716.VP500.PGQPV.RA</t>
  </si>
  <si>
    <t>FA0682.VP508.JPAPV.RA</t>
  </si>
  <si>
    <t>FA0427.AP540.JPAPV.RA</t>
  </si>
  <si>
    <t>FA0715.VP500.JPAPV.RA</t>
  </si>
  <si>
    <t>FA0412.VP500.JPAPV.RA</t>
  </si>
  <si>
    <t>FA0682.VP508.GLMPV.RA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</si>
  <si>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</si>
  <si>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</si>
  <si>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</si>
  <si>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</si>
  <si>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</si>
  <si>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</si>
  <si>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</si>
  <si>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</si>
  <si>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</si>
  <si>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</si>
  <si>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</si>
  <si>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</si>
  <si>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</si>
  <si>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</si>
  <si>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</si>
  <si>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</si>
  <si>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</si>
  <si>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</si>
  <si>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</si>
  <si>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</si>
  <si>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</si>
  <si>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</si>
  <si>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</si>
  <si>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</si>
  <si>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</si>
  <si>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</si>
  <si>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вертикальный профиль Smart</t>
  </si>
  <si>
    <t>шампань матовая</t>
  </si>
  <si>
    <t>AS0750.VP540.SLMAN.CJ</t>
  </si>
  <si>
    <t>AS0750.VP540.BKSPC.CJ</t>
  </si>
  <si>
    <t>AS0750.VP540</t>
  </si>
  <si>
    <t>Вертикальный профиль Smart</t>
  </si>
  <si>
    <t>Количество ручек для одной двери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</si>
</sst>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</numFmts>
  <fonts count="36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7" fontId="1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75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0" fontId="11" fillId="0" borderId="0"/>
    <xf numFmtId="0" fontId="11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1" fillId="0" borderId="0" applyFont="0" applyFill="0" applyBorder="0" applyAlignment="0" applyProtection="0"/>
    <xf numFmtId="0" fontId="11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1" fillId="0" borderId="0" applyFont="0" applyFill="0" applyBorder="0" applyAlignment="0" applyProtection="0"/>
    <xf numFmtId="0" fontId="11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1" fillId="0" borderId="0" applyFont="0" applyFill="0" applyBorder="0" applyAlignment="0" applyProtection="0"/>
    <xf numFmtId="0" fontId="11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1" fillId="0" borderId="0" applyFont="0" applyFill="0" applyBorder="0" applyAlignment="0" applyProtection="0"/>
    <xf numFmtId="0" fontId="11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0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8" fillId="0" borderId="0"/>
    <xf numFmtId="0" fontId="5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513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4" fillId="0" borderId="0" xfId="2" applyFont="1" applyAlignment="1" applyProtection="1">
      <alignment horizontal="left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3" fillId="6" borderId="1" xfId="0" applyFont="1" applyFill="1" applyBorder="1" applyAlignment="1" applyProtection="1">
      <alignment vertical="center"/>
      <protection locked="0"/>
    </xf>
    <xf numFmtId="172" fontId="23" fillId="7" borderId="1" xfId="0" applyNumberFormat="1" applyFont="1" applyFill="1" applyBorder="1" applyAlignment="1" applyProtection="1">
      <alignment horizontal="center" vertical="center"/>
    </xf>
    <xf numFmtId="172" fontId="23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2" fillId="0" borderId="2" xfId="0" applyFont="1" applyBorder="1" applyAlignment="1" applyProtection="1">
      <alignment horizontal="right" vertical="center"/>
    </xf>
    <xf numFmtId="0" fontId="22" fillId="0" borderId="2" xfId="0" applyFont="1" applyBorder="1" applyAlignment="1" applyProtection="1">
      <alignment vertical="center"/>
    </xf>
    <xf numFmtId="0" fontId="11" fillId="0" borderId="0" xfId="0" applyFont="1" applyFill="1" applyBorder="1" applyProtection="1"/>
    <xf numFmtId="0" fontId="12" fillId="0" borderId="0" xfId="0" applyFont="1" applyAlignment="1" applyProtection="1">
      <alignment horizontal="left"/>
    </xf>
    <xf numFmtId="0" fontId="11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1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vertical="center"/>
    </xf>
    <xf numFmtId="169" fontId="11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left"/>
    </xf>
    <xf numFmtId="9" fontId="12" fillId="0" borderId="0" xfId="3" applyNumberFormat="1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vertical="center"/>
    </xf>
    <xf numFmtId="0" fontId="11" fillId="0" borderId="0" xfId="0" applyFont="1" applyProtection="1"/>
    <xf numFmtId="2" fontId="11" fillId="0" borderId="0" xfId="0" applyNumberFormat="1" applyFont="1" applyProtection="1"/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Protection="1"/>
    <xf numFmtId="0" fontId="12" fillId="0" borderId="0" xfId="0" applyFont="1" applyProtection="1"/>
    <xf numFmtId="0" fontId="11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1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left" vertical="center"/>
    </xf>
    <xf numFmtId="0" fontId="20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vertical="center"/>
    </xf>
    <xf numFmtId="0" fontId="23" fillId="0" borderId="3" xfId="0" applyFont="1" applyBorder="1" applyAlignment="1" applyProtection="1">
      <alignment vertical="center"/>
    </xf>
    <xf numFmtId="0" fontId="23" fillId="0" borderId="4" xfId="0" applyFont="1" applyBorder="1" applyAlignment="1" applyProtection="1">
      <alignment vertical="center"/>
    </xf>
    <xf numFmtId="0" fontId="23" fillId="0" borderId="13" xfId="0" applyFont="1" applyBorder="1" applyAlignment="1" applyProtection="1">
      <alignment horizontal="right"/>
    </xf>
    <xf numFmtId="165" fontId="23" fillId="2" borderId="21" xfId="0" applyNumberFormat="1" applyFont="1" applyFill="1" applyBorder="1" applyAlignment="1" applyProtection="1">
      <alignment horizontal="center" vertical="center"/>
    </xf>
    <xf numFmtId="0" fontId="23" fillId="0" borderId="13" xfId="0" applyFont="1" applyBorder="1" applyAlignment="1" applyProtection="1">
      <alignment horizontal="center" vertical="center"/>
    </xf>
    <xf numFmtId="0" fontId="23" fillId="0" borderId="5" xfId="0" applyFont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right" vertical="center"/>
    </xf>
    <xf numFmtId="0" fontId="23" fillId="0" borderId="13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3" fillId="0" borderId="5" xfId="0" applyFont="1" applyBorder="1" applyAlignment="1" applyProtection="1">
      <alignment vertical="center"/>
    </xf>
    <xf numFmtId="0" fontId="23" fillId="0" borderId="2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/>
    </xf>
    <xf numFmtId="0" fontId="19" fillId="0" borderId="6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vertical="center"/>
    </xf>
    <xf numFmtId="172" fontId="23" fillId="0" borderId="1" xfId="0" applyNumberFormat="1" applyFont="1" applyBorder="1" applyAlignment="1" applyProtection="1">
      <alignment horizontal="center" vertical="center"/>
    </xf>
    <xf numFmtId="165" fontId="23" fillId="0" borderId="1" xfId="0" applyNumberFormat="1" applyFont="1" applyBorder="1" applyAlignment="1" applyProtection="1">
      <alignment horizontal="center" vertical="center"/>
    </xf>
    <xf numFmtId="166" fontId="19" fillId="0" borderId="6" xfId="0" applyNumberFormat="1" applyFont="1" applyBorder="1" applyAlignment="1" applyProtection="1">
      <alignment horizontal="right" vertical="center"/>
    </xf>
    <xf numFmtId="0" fontId="24" fillId="0" borderId="0" xfId="0" applyFont="1" applyFill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0" fontId="23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horizontal="left" vertical="center"/>
    </xf>
    <xf numFmtId="0" fontId="23" fillId="0" borderId="13" xfId="0" applyFont="1" applyBorder="1" applyProtection="1"/>
    <xf numFmtId="0" fontId="23" fillId="0" borderId="0" xfId="0" applyFont="1" applyBorder="1" applyProtection="1"/>
    <xf numFmtId="169" fontId="19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3" fillId="0" borderId="0" xfId="0" applyFont="1" applyProtection="1"/>
    <xf numFmtId="0" fontId="23" fillId="0" borderId="14" xfId="0" applyFont="1" applyBorder="1" applyProtection="1"/>
    <xf numFmtId="0" fontId="23" fillId="0" borderId="9" xfId="0" applyFont="1" applyBorder="1" applyProtection="1"/>
    <xf numFmtId="0" fontId="23" fillId="0" borderId="9" xfId="0" applyFont="1" applyBorder="1" applyAlignment="1" applyProtection="1">
      <alignment horizontal="center" vertical="center"/>
    </xf>
    <xf numFmtId="0" fontId="23" fillId="0" borderId="10" xfId="0" applyFont="1" applyBorder="1" applyAlignment="1" applyProtection="1">
      <alignment horizontal="center" vertical="center"/>
    </xf>
    <xf numFmtId="166" fontId="19" fillId="6" borderId="1" xfId="0" applyNumberFormat="1" applyFont="1" applyFill="1" applyBorder="1" applyAlignment="1" applyProtection="1">
      <alignment horizontal="center" vertical="center"/>
      <protection locked="0"/>
    </xf>
    <xf numFmtId="164" fontId="20" fillId="2" borderId="1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left" vertical="center"/>
    </xf>
    <xf numFmtId="9" fontId="12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0" fillId="0" borderId="1" xfId="0" applyNumberFormat="1" applyFont="1" applyBorder="1" applyAlignment="1" applyProtection="1">
      <alignment horizontal="center" vertical="center"/>
    </xf>
    <xf numFmtId="169" fontId="11" fillId="6" borderId="1" xfId="0" applyNumberFormat="1" applyFont="1" applyFill="1" applyBorder="1" applyAlignment="1" applyProtection="1">
      <alignment horizontal="center" vertical="center"/>
      <protection locked="0"/>
    </xf>
    <xf numFmtId="164" fontId="20" fillId="0" borderId="1" xfId="0" applyNumberFormat="1" applyFont="1" applyFill="1" applyBorder="1" applyAlignment="1" applyProtection="1">
      <alignment horizontal="center" vertical="center"/>
    </xf>
    <xf numFmtId="165" fontId="20" fillId="0" borderId="1" xfId="0" applyNumberFormat="1" applyFont="1" applyFill="1" applyBorder="1" applyAlignment="1" applyProtection="1">
      <alignment horizontal="center" vertical="center"/>
    </xf>
    <xf numFmtId="164" fontId="22" fillId="0" borderId="1" xfId="0" applyNumberFormat="1" applyFont="1" applyBorder="1" applyAlignment="1" applyProtection="1">
      <alignment horizontal="center" vertical="center"/>
    </xf>
    <xf numFmtId="165" fontId="22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19" fillId="0" borderId="33" xfId="0" applyNumberFormat="1" applyFont="1" applyBorder="1" applyAlignment="1" applyProtection="1">
      <alignment horizontal="right" vertical="center"/>
    </xf>
    <xf numFmtId="165" fontId="22" fillId="0" borderId="2" xfId="0" applyNumberFormat="1" applyFont="1" applyBorder="1" applyAlignment="1" applyProtection="1">
      <alignment vertical="center"/>
    </xf>
    <xf numFmtId="165" fontId="22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8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3" fillId="0" borderId="21" xfId="0" applyNumberFormat="1" applyFont="1" applyBorder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 wrapText="1"/>
    </xf>
    <xf numFmtId="0" fontId="22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1" fillId="0" borderId="1" xfId="0" applyNumberFormat="1" applyFont="1" applyFill="1" applyBorder="1" applyAlignment="1" applyProtection="1">
      <alignment horizontal="center" vertical="center"/>
    </xf>
    <xf numFmtId="16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</xf>
    <xf numFmtId="170" fontId="11" fillId="0" borderId="1" xfId="0" applyNumberFormat="1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169" fontId="11" fillId="0" borderId="1" xfId="0" applyNumberFormat="1" applyFont="1" applyFill="1" applyBorder="1" applyAlignment="1" applyProtection="1">
      <alignment horizontal="center" vertical="center"/>
    </xf>
    <xf numFmtId="169" fontId="13" fillId="0" borderId="1" xfId="0" applyNumberFormat="1" applyFont="1" applyBorder="1" applyAlignment="1" applyProtection="1">
      <alignment horizontal="center" vertical="center"/>
    </xf>
    <xf numFmtId="169" fontId="11" fillId="0" borderId="1" xfId="0" applyNumberFormat="1" applyFont="1" applyFill="1" applyBorder="1" applyAlignment="1">
      <alignment horizontal="center" vertical="center"/>
    </xf>
    <xf numFmtId="0" fontId="11" fillId="0" borderId="0" xfId="0" applyFont="1" applyBorder="1" applyAlignment="1" applyProtection="1">
      <alignment vertical="center"/>
    </xf>
    <xf numFmtId="169" fontId="11" fillId="0" borderId="1" xfId="0" applyNumberFormat="1" applyFont="1" applyFill="1" applyBorder="1" applyAlignment="1" applyProtection="1">
      <alignment vertical="center"/>
    </xf>
    <xf numFmtId="169" fontId="11" fillId="0" borderId="1" xfId="0" applyNumberFormat="1" applyFont="1" applyFill="1" applyBorder="1" applyAlignment="1" applyProtection="1">
      <alignment vertical="center"/>
    </xf>
    <xf numFmtId="170" fontId="11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9" fontId="13" fillId="0" borderId="1" xfId="0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169" fontId="26" fillId="4" borderId="1" xfId="3" applyNumberFormat="1" applyFont="1" applyFill="1" applyBorder="1" applyAlignment="1" applyProtection="1">
      <alignment horizontal="center" vertical="center" wrapText="1"/>
    </xf>
    <xf numFmtId="169" fontId="12" fillId="4" borderId="1" xfId="3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0" fillId="2" borderId="32" xfId="0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vertical="center" wrapText="1"/>
    </xf>
    <xf numFmtId="0" fontId="23" fillId="0" borderId="13" xfId="0" applyFont="1" applyBorder="1" applyAlignment="1" applyProtection="1">
      <alignment horizontal="right" vertical="center"/>
    </xf>
    <xf numFmtId="0" fontId="30" fillId="2" borderId="1" xfId="0" applyFont="1" applyFill="1" applyBorder="1" applyAlignment="1" applyProtection="1">
      <alignment horizontal="center" vertical="center" wrapText="1"/>
    </xf>
    <xf numFmtId="0" fontId="20" fillId="0" borderId="32" xfId="0" applyFont="1" applyBorder="1" applyAlignment="1" applyProtection="1">
      <alignment horizontal="center" vertical="center"/>
    </xf>
    <xf numFmtId="0" fontId="20" fillId="0" borderId="32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 vertical="center" wrapText="1"/>
    </xf>
    <xf numFmtId="4" fontId="12" fillId="0" borderId="1" xfId="0" applyNumberFormat="1" applyFont="1" applyFill="1" applyBorder="1" applyAlignment="1" applyProtection="1">
      <alignment horizontal="center" vertical="center"/>
    </xf>
    <xf numFmtId="4" fontId="12" fillId="3" borderId="1" xfId="0" applyNumberFormat="1" applyFont="1" applyFill="1" applyBorder="1" applyAlignment="1" applyProtection="1">
      <alignment horizontal="center" vertical="center"/>
    </xf>
    <xf numFmtId="169" fontId="11" fillId="0" borderId="1" xfId="0" applyNumberFormat="1" applyFont="1" applyFill="1" applyBorder="1" applyAlignment="1" applyProtection="1">
      <alignment horizontal="center" vertical="center" wrapText="1"/>
    </xf>
    <xf numFmtId="179" fontId="11" fillId="8" borderId="1" xfId="3267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178" fontId="11" fillId="8" borderId="1" xfId="3267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/>
    </xf>
    <xf numFmtId="169" fontId="11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169" fontId="11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6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2" fillId="0" borderId="6" xfId="1" applyNumberFormat="1" applyFont="1" applyFill="1" applyBorder="1" applyAlignment="1" applyProtection="1">
      <alignment horizontal="center" vertical="center"/>
    </xf>
    <xf numFmtId="165" fontId="22" fillId="0" borderId="6" xfId="0" applyNumberFormat="1" applyFont="1" applyFill="1" applyBorder="1" applyAlignment="1" applyProtection="1">
      <alignment horizontal="center" vertical="center"/>
    </xf>
    <xf numFmtId="165" fontId="22" fillId="0" borderId="6" xfId="1" applyNumberFormat="1" applyFont="1" applyFill="1" applyBorder="1" applyAlignment="1" applyProtection="1">
      <alignment horizontal="center" vertical="center"/>
    </xf>
    <xf numFmtId="173" fontId="22" fillId="0" borderId="6" xfId="0" applyNumberFormat="1" applyFont="1" applyFill="1" applyBorder="1" applyAlignment="1" applyProtection="1">
      <alignment horizontal="center" vertical="center"/>
    </xf>
    <xf numFmtId="173" fontId="22" fillId="0" borderId="6" xfId="1" applyNumberFormat="1" applyFont="1" applyFill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2" fillId="0" borderId="1" xfId="0" applyFont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/>
    </xf>
    <xf numFmtId="0" fontId="20" fillId="2" borderId="6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vertical="center"/>
    </xf>
    <xf numFmtId="169" fontId="22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2" fillId="0" borderId="0" xfId="1" applyNumberFormat="1" applyFont="1" applyFill="1" applyBorder="1" applyAlignment="1" applyProtection="1">
      <alignment horizontal="center" vertical="center"/>
    </xf>
    <xf numFmtId="165" fontId="20" fillId="0" borderId="0" xfId="0" applyNumberFormat="1" applyFont="1" applyFill="1" applyBorder="1" applyAlignment="1" applyProtection="1">
      <alignment horizontal="center" vertical="center"/>
    </xf>
    <xf numFmtId="165" fontId="22" fillId="0" borderId="0" xfId="0" applyNumberFormat="1" applyFont="1" applyFill="1" applyBorder="1" applyAlignment="1" applyProtection="1">
      <alignment horizontal="center" vertical="center"/>
    </xf>
    <xf numFmtId="165" fontId="22" fillId="0" borderId="0" xfId="1" applyNumberFormat="1" applyFont="1" applyFill="1" applyBorder="1" applyAlignment="1" applyProtection="1">
      <alignment horizontal="center" vertical="center"/>
    </xf>
    <xf numFmtId="173" fontId="22" fillId="0" borderId="0" xfId="0" applyNumberFormat="1" applyFont="1" applyFill="1" applyBorder="1" applyAlignment="1" applyProtection="1">
      <alignment horizontal="center" vertical="center"/>
    </xf>
    <xf numFmtId="173" fontId="22" fillId="0" borderId="0" xfId="1" applyNumberFormat="1" applyFon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8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39" xfId="0" applyFont="1" applyFill="1" applyBorder="1" applyAlignment="1" applyProtection="1">
      <alignment horizontal="left" vertical="center"/>
    </xf>
    <xf numFmtId="0" fontId="20" fillId="2" borderId="40" xfId="0" applyFont="1" applyFill="1" applyBorder="1" applyAlignment="1" applyProtection="1">
      <alignment horizontal="center" vertical="center"/>
    </xf>
    <xf numFmtId="169" fontId="0" fillId="0" borderId="40" xfId="0" applyNumberFormat="1" applyBorder="1" applyAlignment="1" applyProtection="1">
      <alignment horizontal="center" vertical="center"/>
    </xf>
    <xf numFmtId="0" fontId="20" fillId="2" borderId="39" xfId="0" applyFont="1" applyFill="1" applyBorder="1" applyAlignment="1" applyProtection="1">
      <alignment horizontal="center" vertical="center"/>
    </xf>
    <xf numFmtId="169" fontId="22" fillId="0" borderId="40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2" fillId="0" borderId="13" xfId="0" applyFont="1" applyBorder="1" applyAlignment="1" applyProtection="1">
      <alignment vertical="center"/>
    </xf>
    <xf numFmtId="0" fontId="22" fillId="0" borderId="0" xfId="0" applyFont="1" applyBorder="1" applyAlignment="1" applyProtection="1">
      <alignment vertical="center"/>
    </xf>
    <xf numFmtId="0" fontId="22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0" fillId="0" borderId="0" xfId="0" applyNumberFormat="1" applyFont="1" applyFill="1" applyBorder="1" applyAlignment="1" applyProtection="1">
      <alignment horizontal="center" vertical="center"/>
    </xf>
    <xf numFmtId="168" fontId="22" fillId="0" borderId="0" xfId="0" applyNumberFormat="1" applyFont="1" applyFill="1" applyBorder="1" applyAlignment="1" applyProtection="1">
      <alignment horizontal="center" vertical="center"/>
    </xf>
    <xf numFmtId="166" fontId="20" fillId="0" borderId="0" xfId="0" applyNumberFormat="1" applyFont="1" applyFill="1" applyBorder="1" applyAlignment="1" applyProtection="1">
      <alignment vertical="center"/>
    </xf>
    <xf numFmtId="169" fontId="22" fillId="0" borderId="0" xfId="0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22" fillId="0" borderId="40" xfId="0" applyNumberFormat="1" applyFont="1" applyFill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1" xfId="0" applyNumberFormat="1" applyBorder="1" applyAlignment="1" applyProtection="1">
      <alignment vertical="center"/>
    </xf>
    <xf numFmtId="164" fontId="22" fillId="0" borderId="6" xfId="0" applyNumberFormat="1" applyFont="1" applyBorder="1" applyAlignment="1" applyProtection="1">
      <alignment vertical="center"/>
    </xf>
    <xf numFmtId="164" fontId="22" fillId="0" borderId="12" xfId="0" applyNumberFormat="1" applyFont="1" applyBorder="1" applyAlignment="1" applyProtection="1">
      <alignment vertical="center"/>
    </xf>
    <xf numFmtId="0" fontId="33" fillId="0" borderId="32" xfId="0" applyFont="1" applyBorder="1" applyAlignment="1" applyProtection="1">
      <alignment horizontal="center" vertical="center"/>
    </xf>
    <xf numFmtId="0" fontId="33" fillId="0" borderId="1" xfId="0" applyFont="1" applyBorder="1" applyAlignment="1" applyProtection="1">
      <alignment horizontal="center" vertical="center"/>
    </xf>
    <xf numFmtId="0" fontId="22" fillId="0" borderId="27" xfId="0" applyFont="1" applyFill="1" applyBorder="1" applyAlignment="1" applyProtection="1">
      <alignment horizontal="right" vertical="center"/>
    </xf>
    <xf numFmtId="164" fontId="22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2" fillId="0" borderId="7" xfId="0" applyFont="1" applyFill="1" applyBorder="1" applyAlignment="1" applyProtection="1">
      <alignment horizontal="right" vertical="center"/>
    </xf>
    <xf numFmtId="164" fontId="22" fillId="0" borderId="6" xfId="0" applyNumberFormat="1" applyFont="1" applyFill="1" applyBorder="1" applyAlignment="1" applyProtection="1">
      <alignment horizontal="center" vertical="center"/>
    </xf>
    <xf numFmtId="169" fontId="22" fillId="0" borderId="23" xfId="1" applyNumberFormat="1" applyFont="1" applyFill="1" applyBorder="1" applyAlignment="1" applyProtection="1">
      <alignment horizontal="center" vertical="center"/>
    </xf>
    <xf numFmtId="0" fontId="32" fillId="0" borderId="0" xfId="0" applyFont="1" applyFill="1" applyAlignment="1" applyProtection="1">
      <alignment vertical="center"/>
    </xf>
    <xf numFmtId="0" fontId="20" fillId="0" borderId="0" xfId="0" applyFont="1" applyFill="1" applyBorder="1" applyAlignment="1" applyProtection="1">
      <alignment horizontal="center" vertical="center" wrapText="1"/>
    </xf>
    <xf numFmtId="164" fontId="22" fillId="0" borderId="6" xfId="0" applyNumberFormat="1" applyFont="1" applyFill="1" applyBorder="1" applyAlignment="1" applyProtection="1">
      <alignment vertical="center"/>
    </xf>
    <xf numFmtId="164" fontId="22" fillId="0" borderId="12" xfId="0" applyNumberFormat="1" applyFont="1" applyFill="1" applyBorder="1" applyAlignment="1" applyProtection="1">
      <alignment vertical="center"/>
    </xf>
    <xf numFmtId="169" fontId="22" fillId="0" borderId="0" xfId="1" applyNumberFormat="1" applyFont="1" applyFill="1" applyBorder="1" applyAlignment="1" applyProtection="1">
      <alignment horizontal="left" vertical="center"/>
    </xf>
    <xf numFmtId="169" fontId="22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0" fontId="20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8" fillId="0" borderId="7" xfId="0" applyNumberFormat="1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3" fillId="0" borderId="1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169" fontId="20" fillId="0" borderId="41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172" fontId="20" fillId="0" borderId="1" xfId="0" applyNumberFormat="1" applyFont="1" applyBorder="1" applyAlignment="1" applyProtection="1">
      <alignment horizontal="center" vertical="center"/>
    </xf>
    <xf numFmtId="169" fontId="20" fillId="0" borderId="40" xfId="0" applyNumberFormat="1" applyFont="1" applyBorder="1" applyAlignment="1" applyProtection="1">
      <alignment horizontal="center" vertical="center"/>
    </xf>
    <xf numFmtId="165" fontId="20" fillId="0" borderId="6" xfId="0" applyNumberFormat="1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3" xfId="0" applyNumberFormat="1" applyBorder="1" applyAlignment="1" applyProtection="1">
      <alignment horizontal="center" vertical="center"/>
    </xf>
    <xf numFmtId="180" fontId="25" fillId="0" borderId="28" xfId="0" applyNumberFormat="1" applyFont="1" applyBorder="1" applyAlignment="1" applyProtection="1">
      <alignment horizontal="center"/>
    </xf>
    <xf numFmtId="180" fontId="25" fillId="0" borderId="28" xfId="0" applyNumberFormat="1" applyFont="1" applyBorder="1" applyAlignment="1" applyProtection="1">
      <alignment horizontal="center" vertical="center"/>
    </xf>
    <xf numFmtId="0" fontId="25" fillId="0" borderId="28" xfId="0" applyFont="1" applyFill="1" applyBorder="1" applyAlignment="1" applyProtection="1">
      <alignment horizontal="center"/>
    </xf>
    <xf numFmtId="0" fontId="25" fillId="0" borderId="0" xfId="0" applyFont="1" applyFill="1" applyBorder="1" applyAlignment="1" applyProtection="1">
      <alignment vertical="center"/>
    </xf>
    <xf numFmtId="180" fontId="25" fillId="0" borderId="29" xfId="0" applyNumberFormat="1" applyFon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horizontal="center" vertical="center" wrapText="1"/>
    </xf>
    <xf numFmtId="0" fontId="11" fillId="0" borderId="15" xfId="0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8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1" fillId="0" borderId="15" xfId="0" applyFont="1" applyFill="1" applyBorder="1" applyAlignment="1" applyProtection="1">
      <alignment horizontal="center" vertical="center"/>
    </xf>
    <xf numFmtId="0" fontId="11" fillId="0" borderId="38" xfId="0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 applyProtection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vertical="center" wrapText="1"/>
    </xf>
    <xf numFmtId="0" fontId="11" fillId="0" borderId="1" xfId="0" applyFont="1" applyBorder="1" applyProtection="1"/>
    <xf numFmtId="0" fontId="11" fillId="0" borderId="15" xfId="0" applyFont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vertical="center" wrapText="1"/>
    </xf>
    <xf numFmtId="0" fontId="11" fillId="5" borderId="1" xfId="0" applyFont="1" applyFill="1" applyBorder="1" applyAlignment="1" applyProtection="1"/>
    <xf numFmtId="0" fontId="11" fillId="5" borderId="1" xfId="0" applyFont="1" applyFill="1" applyBorder="1" applyAlignment="1" applyProtection="1">
      <alignment horizontal="left" indent="3"/>
    </xf>
    <xf numFmtId="0" fontId="12" fillId="3" borderId="1" xfId="0" applyFont="1" applyFill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6" fontId="0" fillId="0" borderId="33" xfId="0" applyNumberForma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center"/>
    </xf>
    <xf numFmtId="169" fontId="20" fillId="0" borderId="2" xfId="0" applyNumberFormat="1" applyFont="1" applyFill="1" applyBorder="1" applyAlignment="1" applyProtection="1">
      <alignment horizontal="left" vertical="center"/>
    </xf>
    <xf numFmtId="164" fontId="20" fillId="0" borderId="1" xfId="0" applyNumberFormat="1" applyFont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169" fontId="20" fillId="0" borderId="6" xfId="0" applyNumberFormat="1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8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0" fillId="0" borderId="0" xfId="0" applyNumberFormat="1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0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0" fontId="20" fillId="0" borderId="8" xfId="0" applyFont="1" applyBorder="1" applyAlignment="1" applyProtection="1">
      <alignment horizontal="center" vertical="center"/>
    </xf>
    <xf numFmtId="1" fontId="20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65" fontId="20" fillId="0" borderId="6" xfId="0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right" vertical="center"/>
    </xf>
    <xf numFmtId="164" fontId="20" fillId="0" borderId="1" xfId="0" applyNumberFormat="1" applyFont="1" applyBorder="1" applyAlignment="1" applyProtection="1">
      <alignment horizontal="center" vertical="center"/>
    </xf>
    <xf numFmtId="0" fontId="20" fillId="2" borderId="2" xfId="0" applyFont="1" applyFill="1" applyBorder="1" applyAlignment="1" applyProtection="1">
      <alignment horizontal="center" vertical="center"/>
    </xf>
    <xf numFmtId="0" fontId="20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2" borderId="32" xfId="0" applyFont="1" applyFill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2" fillId="0" borderId="2" xfId="0" applyFont="1" applyFill="1" applyBorder="1" applyAlignment="1" applyProtection="1">
      <alignment vertical="center"/>
    </xf>
    <xf numFmtId="165" fontId="20" fillId="0" borderId="1" xfId="0" applyNumberFormat="1" applyFont="1" applyBorder="1" applyAlignment="1" applyProtection="1">
      <alignment horizontal="center" vertical="center"/>
    </xf>
    <xf numFmtId="166" fontId="20" fillId="0" borderId="0" xfId="0" applyNumberFormat="1" applyFont="1" applyBorder="1" applyAlignment="1" applyProtection="1">
      <alignment vertical="center"/>
    </xf>
    <xf numFmtId="169" fontId="34" fillId="0" borderId="0" xfId="0" applyNumberFormat="1" applyFont="1" applyFill="1" applyBorder="1" applyAlignment="1" applyProtection="1">
      <alignment wrapText="1"/>
    </xf>
    <xf numFmtId="165" fontId="20" fillId="0" borderId="12" xfId="0" applyNumberFormat="1" applyFont="1" applyBorder="1" applyAlignment="1" applyProtection="1">
      <alignment horizontal="center" vertical="center"/>
    </xf>
    <xf numFmtId="165" fontId="22" fillId="0" borderId="12" xfId="1" applyNumberFormat="1" applyFont="1" applyFill="1" applyBorder="1" applyAlignment="1" applyProtection="1">
      <alignment horizontal="center" vertical="center"/>
    </xf>
    <xf numFmtId="165" fontId="20" fillId="0" borderId="6" xfId="0" applyNumberFormat="1" applyFont="1" applyFill="1" applyBorder="1" applyAlignment="1" applyProtection="1">
      <alignment horizontal="center" vertical="center"/>
    </xf>
    <xf numFmtId="0" fontId="23" fillId="0" borderId="0" xfId="0" applyFont="1" applyBorder="1" applyAlignment="1" applyProtection="1">
      <alignment horizontal="right" vertical="center"/>
    </xf>
    <xf numFmtId="0" fontId="23" fillId="0" borderId="29" xfId="0" applyFont="1" applyBorder="1" applyAlignment="1" applyProtection="1">
      <alignment horizontal="right" vertical="center"/>
    </xf>
    <xf numFmtId="0" fontId="23" fillId="0" borderId="30" xfId="0" applyFont="1" applyBorder="1" applyAlignment="1" applyProtection="1">
      <alignment horizontal="right" vertical="center"/>
    </xf>
    <xf numFmtId="0" fontId="20" fillId="0" borderId="2" xfId="0" applyFont="1" applyFill="1" applyBorder="1" applyAlignment="1" applyProtection="1">
      <alignment horizontal="left" vertical="center"/>
    </xf>
    <xf numFmtId="0" fontId="20" fillId="0" borderId="1" xfId="0" applyFont="1" applyFill="1" applyBorder="1" applyAlignment="1" applyProtection="1">
      <alignment horizontal="left" vertical="center"/>
    </xf>
    <xf numFmtId="0" fontId="20" fillId="0" borderId="45" xfId="0" applyFont="1" applyBorder="1" applyAlignment="1" applyProtection="1">
      <alignment horizontal="left" vertical="center"/>
    </xf>
    <xf numFmtId="0" fontId="20" fillId="0" borderId="26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0" fillId="2" borderId="2" xfId="0" applyFont="1" applyFill="1" applyBorder="1" applyAlignment="1" applyProtection="1">
      <alignment horizontal="center" vertical="center"/>
    </xf>
    <xf numFmtId="0" fontId="20" fillId="2" borderId="1" xfId="0" applyFont="1" applyFill="1" applyBorder="1" applyAlignment="1" applyProtection="1">
      <alignment horizontal="center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19" fillId="6" borderId="28" xfId="0" applyNumberFormat="1" applyFont="1" applyFill="1" applyBorder="1" applyAlignment="1" applyProtection="1">
      <alignment horizontal="center" vertical="center"/>
      <protection locked="0"/>
    </xf>
    <xf numFmtId="165" fontId="19" fillId="6" borderId="24" xfId="0" applyNumberFormat="1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left" vertical="center"/>
    </xf>
    <xf numFmtId="0" fontId="19" fillId="0" borderId="18" xfId="0" applyFont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9" fillId="0" borderId="1" xfId="0" applyFont="1" applyBorder="1" applyAlignment="1" applyProtection="1">
      <alignment horizontal="left" vertical="center"/>
    </xf>
    <xf numFmtId="0" fontId="25" fillId="0" borderId="2" xfId="0" applyFont="1" applyFill="1" applyBorder="1" applyAlignment="1" applyProtection="1">
      <alignment horizontal="left" vertical="center"/>
    </xf>
    <xf numFmtId="0" fontId="25" fillId="0" borderId="1" xfId="0" applyFont="1" applyFill="1" applyBorder="1" applyAlignment="1" applyProtection="1">
      <alignment horizontal="left" vertical="center"/>
    </xf>
    <xf numFmtId="164" fontId="19" fillId="6" borderId="35" xfId="0" applyNumberFormat="1" applyFont="1" applyFill="1" applyBorder="1" applyAlignment="1" applyProtection="1">
      <alignment horizontal="center" vertical="center"/>
      <protection locked="0"/>
    </xf>
    <xf numFmtId="164" fontId="19" fillId="6" borderId="36" xfId="0" applyNumberFormat="1" applyFont="1" applyFill="1" applyBorder="1" applyAlignment="1" applyProtection="1">
      <alignment horizontal="center" vertical="center"/>
      <protection locked="0"/>
    </xf>
    <xf numFmtId="164" fontId="19" fillId="6" borderId="28" xfId="0" applyNumberFormat="1" applyFont="1" applyFill="1" applyBorder="1" applyAlignment="1" applyProtection="1">
      <alignment horizontal="center" vertical="center"/>
      <protection locked="0"/>
    </xf>
    <xf numFmtId="164" fontId="19" fillId="6" borderId="24" xfId="0" applyNumberFormat="1" applyFont="1" applyFill="1" applyBorder="1" applyAlignment="1" applyProtection="1">
      <alignment horizontal="center" vertical="center"/>
      <protection locked="0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5" fillId="0" borderId="28" xfId="0" applyNumberFormat="1" applyFont="1" applyFill="1" applyBorder="1" applyAlignment="1" applyProtection="1">
      <alignment horizontal="center" vertical="center" wrapText="1"/>
    </xf>
    <xf numFmtId="165" fontId="25" fillId="0" borderId="24" xfId="0" applyNumberFormat="1" applyFont="1" applyFill="1" applyBorder="1" applyAlignment="1" applyProtection="1">
      <alignment horizontal="center" vertical="center" wrapText="1"/>
    </xf>
    <xf numFmtId="0" fontId="25" fillId="0" borderId="2" xfId="0" applyFont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left" vertical="center" wrapText="1"/>
    </xf>
    <xf numFmtId="0" fontId="25" fillId="0" borderId="2" xfId="0" applyFont="1" applyBorder="1" applyAlignment="1" applyProtection="1">
      <alignment horizontal="left" vertical="center"/>
    </xf>
    <xf numFmtId="0" fontId="25" fillId="0" borderId="1" xfId="0" applyFont="1" applyBorder="1" applyAlignment="1" applyProtection="1">
      <alignment horizontal="left" vertical="center"/>
    </xf>
    <xf numFmtId="0" fontId="23" fillId="0" borderId="45" xfId="0" applyFont="1" applyBorder="1" applyAlignment="1" applyProtection="1">
      <alignment horizontal="left" vertical="center"/>
    </xf>
    <xf numFmtId="0" fontId="23" fillId="0" borderId="26" xfId="0" applyFont="1" applyBorder="1" applyAlignment="1" applyProtection="1">
      <alignment horizontal="left" vertical="center"/>
    </xf>
    <xf numFmtId="165" fontId="19" fillId="6" borderId="8" xfId="0" applyNumberFormat="1" applyFont="1" applyFill="1" applyBorder="1" applyAlignment="1" applyProtection="1">
      <alignment horizontal="center" vertical="center"/>
      <protection locked="0"/>
    </xf>
    <xf numFmtId="165" fontId="19" fillId="6" borderId="12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166" fontId="19" fillId="6" borderId="28" xfId="0" applyNumberFormat="1" applyFont="1" applyFill="1" applyBorder="1" applyAlignment="1" applyProtection="1">
      <alignment horizontal="center" vertical="center"/>
      <protection locked="0"/>
    </xf>
    <xf numFmtId="166" fontId="19" fillId="6" borderId="24" xfId="0" applyNumberFormat="1" applyFont="1" applyFill="1" applyBorder="1" applyAlignment="1" applyProtection="1">
      <alignment horizontal="center" vertical="center"/>
      <protection locked="0"/>
    </xf>
    <xf numFmtId="164" fontId="20" fillId="0" borderId="1" xfId="0" applyNumberFormat="1" applyFon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25" fillId="0" borderId="20" xfId="0" applyFont="1" applyFill="1" applyBorder="1" applyAlignment="1" applyProtection="1">
      <alignment horizontal="center" vertical="center"/>
    </xf>
    <xf numFmtId="0" fontId="25" fillId="0" borderId="28" xfId="0" applyFont="1" applyFill="1" applyBorder="1" applyAlignment="1" applyProtection="1">
      <alignment horizontal="center" vertical="center"/>
    </xf>
    <xf numFmtId="0" fontId="25" fillId="0" borderId="32" xfId="0" applyFont="1" applyFill="1" applyBorder="1" applyAlignment="1" applyProtection="1">
      <alignment horizontal="center" vertical="center"/>
    </xf>
    <xf numFmtId="0" fontId="25" fillId="6" borderId="1" xfId="0" applyFont="1" applyFill="1" applyBorder="1" applyAlignment="1" applyProtection="1">
      <alignment horizontal="center" vertical="center"/>
      <protection locked="0"/>
    </xf>
    <xf numFmtId="166" fontId="20" fillId="0" borderId="2" xfId="0" applyNumberFormat="1" applyFont="1" applyBorder="1" applyAlignment="1" applyProtection="1">
      <alignment horizontal="left" vertical="center"/>
    </xf>
    <xf numFmtId="166" fontId="20" fillId="0" borderId="1" xfId="0" applyNumberFormat="1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vertical="center"/>
    </xf>
    <xf numFmtId="0" fontId="20" fillId="0" borderId="2" xfId="0" applyFont="1" applyFill="1" applyBorder="1" applyAlignment="1" applyProtection="1">
      <alignment vertical="center"/>
    </xf>
    <xf numFmtId="0" fontId="20" fillId="0" borderId="1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0" fillId="0" borderId="6" xfId="0" applyNumberFormat="1" applyFont="1" applyFill="1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 vertical="center"/>
    </xf>
    <xf numFmtId="0" fontId="9" fillId="0" borderId="44" xfId="0" applyFont="1" applyFill="1" applyBorder="1" applyAlignment="1" applyProtection="1">
      <alignment horizontal="left" vertical="center"/>
    </xf>
    <xf numFmtId="0" fontId="9" fillId="0" borderId="35" xfId="0" applyFont="1" applyFill="1" applyBorder="1" applyAlignment="1" applyProtection="1">
      <alignment horizontal="left" vertical="center"/>
    </xf>
    <xf numFmtId="0" fontId="9" fillId="0" borderId="36" xfId="0" applyFont="1" applyFill="1" applyBorder="1" applyAlignment="1" applyProtection="1">
      <alignment horizontal="left" vertical="center"/>
    </xf>
    <xf numFmtId="169" fontId="20" fillId="0" borderId="40" xfId="0" applyNumberFormat="1" applyFont="1" applyBorder="1" applyAlignment="1" applyProtection="1">
      <alignment horizontal="center" vertical="center"/>
    </xf>
    <xf numFmtId="169" fontId="20" fillId="0" borderId="8" xfId="0" applyNumberFormat="1" applyFont="1" applyBorder="1" applyAlignment="1" applyProtection="1">
      <alignment horizontal="right" vertical="center"/>
    </xf>
    <xf numFmtId="169" fontId="20" fillId="0" borderId="42" xfId="0" applyNumberFormat="1" applyFont="1" applyBorder="1" applyAlignment="1" applyProtection="1">
      <alignment horizontal="right" vertical="center"/>
    </xf>
    <xf numFmtId="0" fontId="25" fillId="0" borderId="1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horizontal="center" vertical="center"/>
    </xf>
    <xf numFmtId="166" fontId="19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19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19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19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19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19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vertical="center"/>
    </xf>
    <xf numFmtId="0" fontId="22" fillId="0" borderId="1" xfId="0" applyFont="1" applyFill="1" applyBorder="1" applyAlignment="1" applyProtection="1">
      <alignment vertical="center"/>
    </xf>
    <xf numFmtId="169" fontId="20" fillId="0" borderId="34" xfId="0" applyNumberFormat="1" applyFont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center" vertical="center"/>
    </xf>
    <xf numFmtId="165" fontId="25" fillId="6" borderId="28" xfId="0" applyNumberFormat="1" applyFont="1" applyFill="1" applyBorder="1" applyAlignment="1" applyProtection="1">
      <alignment horizontal="center" vertical="center"/>
      <protection locked="0"/>
    </xf>
    <xf numFmtId="165" fontId="25" fillId="6" borderId="24" xfId="0" applyNumberFormat="1" applyFont="1" applyFill="1" applyBorder="1" applyAlignment="1" applyProtection="1">
      <alignment horizontal="center" vertical="center"/>
      <protection locked="0"/>
    </xf>
    <xf numFmtId="165" fontId="19" fillId="6" borderId="26" xfId="0" applyNumberFormat="1" applyFont="1" applyFill="1" applyBorder="1" applyAlignment="1" applyProtection="1">
      <alignment horizontal="center" vertical="center"/>
      <protection locked="0"/>
    </xf>
    <xf numFmtId="165" fontId="19" fillId="6" borderId="25" xfId="0" applyNumberFormat="1" applyFont="1" applyFill="1" applyBorder="1" applyAlignment="1" applyProtection="1">
      <alignment horizontal="center" vertical="center"/>
      <protection locked="0"/>
    </xf>
    <xf numFmtId="169" fontId="35" fillId="0" borderId="0" xfId="0" applyNumberFormat="1" applyFont="1" applyFill="1" applyBorder="1" applyAlignment="1" applyProtection="1">
      <alignment horizontal="center" wrapText="1"/>
    </xf>
    <xf numFmtId="0" fontId="22" fillId="0" borderId="2" xfId="0" applyFont="1" applyBorder="1" applyAlignment="1" applyProtection="1">
      <alignment horizontal="left" vertical="center" wrapText="1"/>
    </xf>
    <xf numFmtId="0" fontId="22" fillId="0" borderId="1" xfId="0" applyFont="1" applyBorder="1" applyAlignment="1" applyProtection="1">
      <alignment horizontal="left" vertical="center" wrapText="1"/>
    </xf>
    <xf numFmtId="0" fontId="25" fillId="0" borderId="7" xfId="0" applyFont="1" applyBorder="1" applyAlignment="1" applyProtection="1">
      <alignment horizontal="left" vertical="center" wrapText="1"/>
    </xf>
    <xf numFmtId="0" fontId="25" fillId="0" borderId="8" xfId="0" applyFont="1" applyBorder="1" applyAlignment="1" applyProtection="1">
      <alignment horizontal="left" vertical="center" wrapText="1"/>
    </xf>
    <xf numFmtId="166" fontId="20" fillId="0" borderId="7" xfId="0" applyNumberFormat="1" applyFont="1" applyBorder="1" applyAlignment="1" applyProtection="1">
      <alignment horizontal="left" vertical="center"/>
    </xf>
    <xf numFmtId="166" fontId="20" fillId="0" borderId="8" xfId="0" applyNumberFormat="1" applyFont="1" applyBorder="1" applyAlignment="1" applyProtection="1">
      <alignment horizontal="left"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left" vertical="center" wrapText="1"/>
    </xf>
    <xf numFmtId="0" fontId="11" fillId="0" borderId="1" xfId="0" applyFont="1" applyBorder="1" applyAlignment="1" applyProtection="1">
      <alignment horizontal="center" vertical="center" wrapText="1"/>
    </xf>
    <xf numFmtId="170" fontId="11" fillId="0" borderId="1" xfId="0" applyNumberFormat="1" applyFont="1" applyBorder="1" applyAlignment="1" applyProtection="1">
      <alignment horizontal="center" vertical="center"/>
    </xf>
    <xf numFmtId="0" fontId="11" fillId="0" borderId="15" xfId="0" applyFont="1" applyBorder="1" applyAlignment="1" applyProtection="1">
      <alignment horizontal="center" vertical="center"/>
    </xf>
    <xf numFmtId="0" fontId="11" fillId="0" borderId="38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38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170" fontId="11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6" fillId="0" borderId="15" xfId="0" applyFont="1" applyFill="1" applyBorder="1" applyAlignment="1" applyProtection="1">
      <alignment horizontal="center" vertical="center" wrapText="1"/>
    </xf>
    <xf numFmtId="0" fontId="16" fillId="0" borderId="38" xfId="0" applyFont="1" applyFill="1" applyBorder="1" applyAlignment="1" applyProtection="1">
      <alignment horizontal="center" vertical="center" wrapText="1"/>
    </xf>
    <xf numFmtId="0" fontId="16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/>
    </xf>
    <xf numFmtId="0" fontId="13" fillId="0" borderId="38" xfId="0" applyFont="1" applyFill="1" applyBorder="1" applyAlignment="1" applyProtection="1">
      <alignment horizontal="center" vertical="center"/>
    </xf>
    <xf numFmtId="0" fontId="13" fillId="0" borderId="16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38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1" fillId="0" borderId="15" xfId="0" applyFont="1" applyFill="1" applyBorder="1" applyAlignment="1" applyProtection="1">
      <alignment horizontal="center" vertical="center"/>
    </xf>
    <xf numFmtId="0" fontId="11" fillId="0" borderId="38" xfId="0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170" fontId="11" fillId="0" borderId="15" xfId="0" applyNumberFormat="1" applyFont="1" applyFill="1" applyBorder="1" applyAlignment="1" applyProtection="1">
      <alignment horizontal="center" vertical="center"/>
    </xf>
    <xf numFmtId="170" fontId="11" fillId="0" borderId="38" xfId="0" applyNumberFormat="1" applyFont="1" applyFill="1" applyBorder="1" applyAlignment="1" applyProtection="1">
      <alignment horizontal="center" vertical="center"/>
    </xf>
    <xf numFmtId="170" fontId="11" fillId="0" borderId="16" xfId="0" applyNumberFormat="1" applyFont="1" applyFill="1" applyBorder="1" applyAlignment="1" applyProtection="1">
      <alignment horizontal="center" vertical="center"/>
    </xf>
    <xf numFmtId="0" fontId="11" fillId="0" borderId="15" xfId="0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16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170" fontId="11" fillId="0" borderId="15" xfId="0" applyNumberFormat="1" applyFont="1" applyBorder="1" applyAlignment="1" applyProtection="1">
      <alignment horizontal="center" vertical="center"/>
    </xf>
    <xf numFmtId="170" fontId="11" fillId="0" borderId="38" xfId="0" applyNumberFormat="1" applyFont="1" applyBorder="1" applyAlignment="1" applyProtection="1">
      <alignment horizontal="center" vertical="center"/>
    </xf>
    <xf numFmtId="170" fontId="11" fillId="0" borderId="16" xfId="0" applyNumberFormat="1" applyFont="1" applyBorder="1" applyAlignment="1" applyProtection="1">
      <alignment horizontal="center" vertical="center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61"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jpg"/><Relationship Id="rId29" Type="http://schemas.openxmlformats.org/officeDocument/2006/relationships/image" Target="../media/image30.emf"/><Relationship Id="rId11" Type="http://schemas.openxmlformats.org/officeDocument/2006/relationships/image" Target="../media/image12.emf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19" Type="http://schemas.openxmlformats.org/officeDocument/2006/relationships/image" Target="../media/image20.jpg"/><Relationship Id="rId31" Type="http://schemas.openxmlformats.org/officeDocument/2006/relationships/image" Target="../media/image32.jpg"/><Relationship Id="rId44" Type="http://schemas.openxmlformats.org/officeDocument/2006/relationships/image" Target="../media/image45.jpg"/><Relationship Id="rId52" Type="http://schemas.openxmlformats.org/officeDocument/2006/relationships/image" Target="../media/image53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pn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43" Type="http://schemas.openxmlformats.org/officeDocument/2006/relationships/image" Target="../media/image44.jpeg"/><Relationship Id="rId48" Type="http://schemas.openxmlformats.org/officeDocument/2006/relationships/image" Target="../media/image49.jp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emf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e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emf"/><Relationship Id="rId36" Type="http://schemas.openxmlformats.org/officeDocument/2006/relationships/image" Target="../media/image37.jpg"/><Relationship Id="rId49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693962</xdr:colOff>
      <xdr:row>27</xdr:row>
      <xdr:rowOff>32654</xdr:rowOff>
    </xdr:from>
    <xdr:to>
      <xdr:col>1</xdr:col>
      <xdr:colOff>2000250</xdr:colOff>
      <xdr:row>36</xdr:row>
      <xdr:rowOff>250372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05" y="8556168"/>
          <a:ext cx="1306288" cy="30588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700059</xdr:colOff>
      <xdr:row>26</xdr:row>
      <xdr:rowOff>291737</xdr:rowOff>
    </xdr:from>
    <xdr:to>
      <xdr:col>1</xdr:col>
      <xdr:colOff>1958067</xdr:colOff>
      <xdr:row>34</xdr:row>
      <xdr:rowOff>314596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802" y="8499566"/>
          <a:ext cx="1258008" cy="254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40</xdr:row>
      <xdr:rowOff>239937</xdr:rowOff>
    </xdr:from>
    <xdr:to>
      <xdr:col>1</xdr:col>
      <xdr:colOff>885826</xdr:colOff>
      <xdr:row>43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51</xdr:row>
      <xdr:rowOff>162578</xdr:rowOff>
    </xdr:from>
    <xdr:to>
      <xdr:col>1</xdr:col>
      <xdr:colOff>863236</xdr:colOff>
      <xdr:row>53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148</xdr:row>
      <xdr:rowOff>41606</xdr:rowOff>
    </xdr:from>
    <xdr:to>
      <xdr:col>1</xdr:col>
      <xdr:colOff>907395</xdr:colOff>
      <xdr:row>148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147</xdr:row>
      <xdr:rowOff>72038</xdr:rowOff>
    </xdr:from>
    <xdr:to>
      <xdr:col>1</xdr:col>
      <xdr:colOff>889131</xdr:colOff>
      <xdr:row>147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150</xdr:row>
      <xdr:rowOff>31146</xdr:rowOff>
    </xdr:from>
    <xdr:to>
      <xdr:col>1</xdr:col>
      <xdr:colOff>839035</xdr:colOff>
      <xdr:row>151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120</xdr:row>
      <xdr:rowOff>90765</xdr:rowOff>
    </xdr:from>
    <xdr:to>
      <xdr:col>1</xdr:col>
      <xdr:colOff>781050</xdr:colOff>
      <xdr:row>122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130</xdr:row>
      <xdr:rowOff>32740</xdr:rowOff>
    </xdr:from>
    <xdr:to>
      <xdr:col>1</xdr:col>
      <xdr:colOff>847854</xdr:colOff>
      <xdr:row>130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33</xdr:row>
      <xdr:rowOff>38190</xdr:rowOff>
    </xdr:from>
    <xdr:to>
      <xdr:col>1</xdr:col>
      <xdr:colOff>723062</xdr:colOff>
      <xdr:row>35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99</xdr:row>
      <xdr:rowOff>150645</xdr:rowOff>
    </xdr:from>
    <xdr:to>
      <xdr:col>1</xdr:col>
      <xdr:colOff>789000</xdr:colOff>
      <xdr:row>101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155</xdr:row>
      <xdr:rowOff>43815</xdr:rowOff>
    </xdr:from>
    <xdr:to>
      <xdr:col>1</xdr:col>
      <xdr:colOff>801759</xdr:colOff>
      <xdr:row>155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103</xdr:row>
      <xdr:rowOff>228634</xdr:rowOff>
    </xdr:from>
    <xdr:to>
      <xdr:col>1</xdr:col>
      <xdr:colOff>841992</xdr:colOff>
      <xdr:row>105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149</xdr:row>
      <xdr:rowOff>36487</xdr:rowOff>
    </xdr:from>
    <xdr:to>
      <xdr:col>1</xdr:col>
      <xdr:colOff>804784</xdr:colOff>
      <xdr:row>149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146</xdr:row>
      <xdr:rowOff>99806</xdr:rowOff>
    </xdr:from>
    <xdr:to>
      <xdr:col>1</xdr:col>
      <xdr:colOff>961332</xdr:colOff>
      <xdr:row>146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154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161</xdr:row>
      <xdr:rowOff>94421</xdr:rowOff>
    </xdr:from>
    <xdr:to>
      <xdr:col>1</xdr:col>
      <xdr:colOff>1242040</xdr:colOff>
      <xdr:row>162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151</xdr:row>
      <xdr:rowOff>152400</xdr:rowOff>
    </xdr:from>
    <xdr:to>
      <xdr:col>1</xdr:col>
      <xdr:colOff>762000</xdr:colOff>
      <xdr:row>153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145</xdr:row>
      <xdr:rowOff>44728</xdr:rowOff>
    </xdr:from>
    <xdr:to>
      <xdr:col>1</xdr:col>
      <xdr:colOff>869674</xdr:colOff>
      <xdr:row>145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66</xdr:row>
      <xdr:rowOff>160020</xdr:rowOff>
    </xdr:from>
    <xdr:to>
      <xdr:col>1</xdr:col>
      <xdr:colOff>880286</xdr:colOff>
      <xdr:row>69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158</xdr:row>
      <xdr:rowOff>41416</xdr:rowOff>
    </xdr:from>
    <xdr:to>
      <xdr:col>1</xdr:col>
      <xdr:colOff>728881</xdr:colOff>
      <xdr:row>158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159</xdr:row>
      <xdr:rowOff>41416</xdr:rowOff>
    </xdr:from>
    <xdr:to>
      <xdr:col>1</xdr:col>
      <xdr:colOff>861082</xdr:colOff>
      <xdr:row>159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161</xdr:row>
      <xdr:rowOff>20543</xdr:rowOff>
    </xdr:from>
    <xdr:to>
      <xdr:col>1</xdr:col>
      <xdr:colOff>775833</xdr:colOff>
      <xdr:row>162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157</xdr:row>
      <xdr:rowOff>38101</xdr:rowOff>
    </xdr:from>
    <xdr:to>
      <xdr:col>1</xdr:col>
      <xdr:colOff>794128</xdr:colOff>
      <xdr:row>157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102</xdr:row>
      <xdr:rowOff>104775</xdr:rowOff>
    </xdr:from>
    <xdr:to>
      <xdr:col>1</xdr:col>
      <xdr:colOff>904875</xdr:colOff>
      <xdr:row>102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135</xdr:row>
      <xdr:rowOff>76201</xdr:rowOff>
    </xdr:from>
    <xdr:to>
      <xdr:col>1</xdr:col>
      <xdr:colOff>942975</xdr:colOff>
      <xdr:row>135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110</xdr:row>
      <xdr:rowOff>131446</xdr:rowOff>
    </xdr:from>
    <xdr:to>
      <xdr:col>1</xdr:col>
      <xdr:colOff>990600</xdr:colOff>
      <xdr:row>112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113</xdr:row>
      <xdr:rowOff>30481</xdr:rowOff>
    </xdr:from>
    <xdr:to>
      <xdr:col>1</xdr:col>
      <xdr:colOff>1019714</xdr:colOff>
      <xdr:row>115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131</xdr:row>
      <xdr:rowOff>101845</xdr:rowOff>
    </xdr:from>
    <xdr:to>
      <xdr:col>1</xdr:col>
      <xdr:colOff>886558</xdr:colOff>
      <xdr:row>133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116</xdr:row>
      <xdr:rowOff>46893</xdr:rowOff>
    </xdr:from>
    <xdr:to>
      <xdr:col>1</xdr:col>
      <xdr:colOff>790575</xdr:colOff>
      <xdr:row>116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142</xdr:row>
      <xdr:rowOff>87923</xdr:rowOff>
    </xdr:from>
    <xdr:to>
      <xdr:col>1</xdr:col>
      <xdr:colOff>921929</xdr:colOff>
      <xdr:row>144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137</xdr:row>
      <xdr:rowOff>178777</xdr:rowOff>
    </xdr:from>
    <xdr:to>
      <xdr:col>1</xdr:col>
      <xdr:colOff>971551</xdr:colOff>
      <xdr:row>139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156</xdr:row>
      <xdr:rowOff>43669</xdr:rowOff>
    </xdr:from>
    <xdr:to>
      <xdr:col>1</xdr:col>
      <xdr:colOff>754350</xdr:colOff>
      <xdr:row>156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170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173</xdr:row>
      <xdr:rowOff>34161</xdr:rowOff>
    </xdr:from>
    <xdr:to>
      <xdr:col>1</xdr:col>
      <xdr:colOff>852045</xdr:colOff>
      <xdr:row>173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174</xdr:row>
      <xdr:rowOff>49341</xdr:rowOff>
    </xdr:from>
    <xdr:to>
      <xdr:col>1</xdr:col>
      <xdr:colOff>819150</xdr:colOff>
      <xdr:row>174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175</xdr:row>
      <xdr:rowOff>85727</xdr:rowOff>
    </xdr:from>
    <xdr:to>
      <xdr:col>1</xdr:col>
      <xdr:colOff>833003</xdr:colOff>
      <xdr:row>175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176</xdr:row>
      <xdr:rowOff>67034</xdr:rowOff>
    </xdr:from>
    <xdr:to>
      <xdr:col>1</xdr:col>
      <xdr:colOff>1101280</xdr:colOff>
      <xdr:row>176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177</xdr:row>
      <xdr:rowOff>127186</xdr:rowOff>
    </xdr:from>
    <xdr:to>
      <xdr:col>1</xdr:col>
      <xdr:colOff>1051560</xdr:colOff>
      <xdr:row>178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179</xdr:row>
      <xdr:rowOff>158115</xdr:rowOff>
    </xdr:from>
    <xdr:to>
      <xdr:col>1</xdr:col>
      <xdr:colOff>891540</xdr:colOff>
      <xdr:row>182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76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84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183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106</xdr:row>
      <xdr:rowOff>129540</xdr:rowOff>
    </xdr:from>
    <xdr:to>
      <xdr:col>1</xdr:col>
      <xdr:colOff>928994</xdr:colOff>
      <xdr:row>109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123</xdr:row>
      <xdr:rowOff>83820</xdr:rowOff>
    </xdr:from>
    <xdr:to>
      <xdr:col>1</xdr:col>
      <xdr:colOff>979170</xdr:colOff>
      <xdr:row>126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89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6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164</xdr:row>
      <xdr:rowOff>85725</xdr:rowOff>
    </xdr:from>
    <xdr:to>
      <xdr:col>1</xdr:col>
      <xdr:colOff>864436</xdr:colOff>
      <xdr:row>165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116</xdr:row>
      <xdr:rowOff>53340</xdr:rowOff>
    </xdr:from>
    <xdr:to>
      <xdr:col>1</xdr:col>
      <xdr:colOff>377058</xdr:colOff>
      <xdr:row>116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127</xdr:row>
      <xdr:rowOff>15242</xdr:rowOff>
    </xdr:from>
    <xdr:to>
      <xdr:col>1</xdr:col>
      <xdr:colOff>822960</xdr:colOff>
      <xdr:row>127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128</xdr:row>
      <xdr:rowOff>38101</xdr:rowOff>
    </xdr:from>
    <xdr:to>
      <xdr:col>1</xdr:col>
      <xdr:colOff>853440</xdr:colOff>
      <xdr:row>128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129</xdr:row>
      <xdr:rowOff>22860</xdr:rowOff>
    </xdr:from>
    <xdr:to>
      <xdr:col>1</xdr:col>
      <xdr:colOff>914400</xdr:colOff>
      <xdr:row>129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117</xdr:row>
      <xdr:rowOff>152400</xdr:rowOff>
    </xdr:from>
    <xdr:to>
      <xdr:col>1</xdr:col>
      <xdr:colOff>876300</xdr:colOff>
      <xdr:row>119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166</xdr:row>
      <xdr:rowOff>137160</xdr:rowOff>
    </xdr:from>
    <xdr:to>
      <xdr:col>1</xdr:col>
      <xdr:colOff>1104901</xdr:colOff>
      <xdr:row>168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184</xdr:row>
      <xdr:rowOff>220980</xdr:rowOff>
    </xdr:from>
    <xdr:to>
      <xdr:col>1</xdr:col>
      <xdr:colOff>1194423</xdr:colOff>
      <xdr:row>187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9</xdr:row>
      <xdr:rowOff>22860</xdr:rowOff>
    </xdr:from>
    <xdr:to>
      <xdr:col>1</xdr:col>
      <xdr:colOff>1160172</xdr:colOff>
      <xdr:row>13</xdr:row>
      <xdr:rowOff>38099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2400" y="2141220"/>
          <a:ext cx="1076352" cy="10210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J84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hidden="1" customWidth="1"/>
    <col min="18" max="18" width="14.77734375" style="1" customWidth="1"/>
    <col min="19" max="19" width="1.77734375" style="1" customWidth="1"/>
    <col min="20" max="20" width="29.77734375" style="1" customWidth="1"/>
    <col min="21" max="33" width="11.77734375" style="1" customWidth="1"/>
    <col min="34" max="34" width="14.77734375" style="1" customWidth="1"/>
    <col min="35" max="46" width="5.77734375" style="1" hidden="1" customWidth="1"/>
    <col min="47" max="47" width="13.88671875" style="1" hidden="1" customWidth="1"/>
    <col min="48" max="49" width="12.77734375" style="1" hidden="1" customWidth="1"/>
    <col min="50" max="53" width="10.109375" style="48" hidden="1" customWidth="1"/>
    <col min="54" max="54" width="13.5546875" style="48" hidden="1" customWidth="1"/>
    <col min="55" max="55" width="12.77734375" style="48" hidden="1" customWidth="1"/>
    <col min="56" max="63" width="10.109375" style="48" hidden="1" customWidth="1"/>
    <col min="64" max="64" width="12.77734375" style="48" hidden="1" customWidth="1"/>
    <col min="65" max="69" width="8.88671875" style="1" hidden="1" customWidth="1"/>
    <col min="70" max="72" width="16.44140625" style="1" hidden="1" customWidth="1"/>
    <col min="73" max="73" width="13.5546875" style="1" hidden="1" customWidth="1"/>
    <col min="74" max="74" width="29.88671875" style="1" hidden="1" customWidth="1"/>
    <col min="75" max="80" width="8.88671875" style="1" hidden="1" customWidth="1"/>
    <col min="81" max="81" width="17.44140625" style="1" hidden="1" customWidth="1"/>
    <col min="82" max="82" width="24.6640625" style="1" hidden="1" customWidth="1"/>
    <col min="83" max="83" width="18.5546875" style="1" hidden="1" customWidth="1"/>
    <col min="84" max="88" width="8.88671875" style="1" hidden="1" customWidth="1"/>
    <col min="89" max="89" width="8.88671875" style="1" customWidth="1"/>
    <col min="90" max="16384" width="8.88671875" style="1"/>
  </cols>
  <sheetData>
    <row r="1" spans="2:88" ht="25.05" customHeight="1" x14ac:dyDescent="0.3">
      <c r="B1" s="372" t="s">
        <v>92</v>
      </c>
      <c r="C1" s="372"/>
      <c r="D1" s="372"/>
      <c r="E1" s="372"/>
      <c r="F1" s="372"/>
      <c r="G1" s="372"/>
      <c r="H1" s="372"/>
      <c r="I1" s="123"/>
      <c r="J1" s="372" t="s">
        <v>93</v>
      </c>
      <c r="K1" s="372"/>
      <c r="L1" s="372"/>
      <c r="M1" s="372"/>
      <c r="N1" s="372"/>
      <c r="O1" s="372"/>
      <c r="P1" s="206"/>
      <c r="Q1" s="206"/>
      <c r="R1" s="167"/>
      <c r="S1" s="167"/>
      <c r="T1" s="167"/>
    </row>
    <row r="2" spans="2:88" ht="25.05" customHeight="1" thickBot="1" x14ac:dyDescent="0.35"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V2" s="45" t="s">
        <v>143</v>
      </c>
    </row>
    <row r="3" spans="2:88" s="4" customFormat="1" ht="25.05" customHeight="1" thickBot="1" x14ac:dyDescent="0.35">
      <c r="B3" s="382" t="s">
        <v>396</v>
      </c>
      <c r="C3" s="383"/>
      <c r="D3" s="383"/>
      <c r="E3" s="388">
        <v>2600</v>
      </c>
      <c r="F3" s="388"/>
      <c r="G3" s="388"/>
      <c r="H3" s="389"/>
      <c r="J3" s="377" t="s">
        <v>228</v>
      </c>
      <c r="K3" s="378"/>
      <c r="L3" s="3"/>
      <c r="M3" s="3"/>
      <c r="N3" s="327"/>
      <c r="O3" s="327"/>
      <c r="P3" s="272"/>
      <c r="Q3" s="272"/>
      <c r="R3" s="3"/>
      <c r="S3" s="3"/>
      <c r="T3" s="3"/>
      <c r="W3" s="409" t="s">
        <v>374</v>
      </c>
      <c r="X3" s="410"/>
      <c r="Y3" s="411"/>
      <c r="Z3" s="412" t="s">
        <v>375</v>
      </c>
      <c r="AA3" s="41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BA3" s="3"/>
      <c r="BB3" s="3"/>
      <c r="BC3" s="3"/>
      <c r="BD3" s="3"/>
      <c r="BE3" s="204" t="s">
        <v>375</v>
      </c>
      <c r="BF3" s="3"/>
      <c r="BG3" s="3"/>
      <c r="BH3" s="3"/>
      <c r="BI3" s="3"/>
      <c r="BJ3" s="3"/>
      <c r="BK3" s="3"/>
      <c r="BL3" s="3"/>
      <c r="BV3" s="45" t="s">
        <v>94</v>
      </c>
    </row>
    <row r="4" spans="2:88" ht="25.05" customHeight="1" x14ac:dyDescent="0.3">
      <c r="B4" s="384" t="s">
        <v>108</v>
      </c>
      <c r="C4" s="385"/>
      <c r="D4" s="385"/>
      <c r="E4" s="390">
        <v>3000</v>
      </c>
      <c r="F4" s="390"/>
      <c r="G4" s="390"/>
      <c r="H4" s="391"/>
      <c r="J4" s="18" t="s">
        <v>15</v>
      </c>
      <c r="K4" s="246">
        <f>IF(OR(E8=BV6,E8=BV7),E3+100-60,E3-60)</f>
        <v>2540</v>
      </c>
      <c r="L4" s="6"/>
      <c r="M4" s="6"/>
      <c r="P4" s="6"/>
      <c r="Q4" s="6"/>
      <c r="R4" s="423" t="s">
        <v>388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V4" s="45" t="s">
        <v>117</v>
      </c>
    </row>
    <row r="5" spans="2:88" ht="25.05" customHeight="1" thickBot="1" x14ac:dyDescent="0.35">
      <c r="B5" s="384" t="s">
        <v>383</v>
      </c>
      <c r="C5" s="385"/>
      <c r="D5" s="385"/>
      <c r="E5" s="380">
        <v>0</v>
      </c>
      <c r="F5" s="380"/>
      <c r="G5" s="380"/>
      <c r="H5" s="381"/>
      <c r="J5" s="124" t="s">
        <v>16</v>
      </c>
      <c r="K5" s="247">
        <f>ROUNDUP(IF(E8=BV6,E4+26,
IF(AND(OR(E8=BV7,E8=BV8),OR(E11=BV36,E11=BV37)),E4/2+26,
IF(AND(OR(E8=BV7,E8=BV8),OR(E11=BV38,E11=BV39)),(E4-10)/2+26,
IF(AND(E8=BV9,OR(E11=BV36,E11=BV37)),(E4+26)/2,
IF(AND(E8=BV9,OR(E11=BV38,E11=BV39)),(E4-10+26)/2,
IF(AND(E8=BV10,OR(E11=BV36,E11=BV37)),(E4+26+26)/3,
IF(AND(E8=BV10,OR(E11=BV38,E11=BV39)),(E4-10+26+26)/3,
IF(AND(E8=BV11,OR(E11=BV36,E11=BV37)),(E4+26+26)/4,
IF(AND(E8=BV11,OR(E11=BV38,E11=BV39)),(E4-10+26+26)/4,0))))))))),0)</f>
        <v>761</v>
      </c>
      <c r="L5" s="5"/>
      <c r="M5" s="5"/>
      <c r="N5" s="290"/>
      <c r="O5" s="290"/>
      <c r="P5" s="273"/>
      <c r="Q5" s="273"/>
      <c r="R5" s="424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115" t="s">
        <v>222</v>
      </c>
      <c r="BA5" s="115"/>
      <c r="BB5" s="115"/>
      <c r="BC5" s="157">
        <v>4950</v>
      </c>
      <c r="BD5" s="157"/>
      <c r="BE5" s="157"/>
      <c r="BF5" s="157"/>
      <c r="BG5" s="157"/>
      <c r="BH5" s="157"/>
      <c r="BI5" s="157"/>
      <c r="BJ5" s="157"/>
      <c r="BK5" s="157"/>
      <c r="BL5" s="157"/>
      <c r="BM5" s="158"/>
      <c r="BN5" s="158"/>
      <c r="BO5" s="158"/>
      <c r="BP5" s="158"/>
      <c r="BQ5" s="158"/>
      <c r="BR5" s="158"/>
      <c r="BS5" s="6"/>
      <c r="BT5" s="6"/>
      <c r="BU5" s="6"/>
    </row>
    <row r="6" spans="2:88" ht="25.05" customHeight="1" thickBot="1" x14ac:dyDescent="0.35">
      <c r="B6" s="384" t="s">
        <v>209</v>
      </c>
      <c r="C6" s="385"/>
      <c r="D6" s="385"/>
      <c r="E6" s="380" t="s">
        <v>387</v>
      </c>
      <c r="F6" s="380"/>
      <c r="G6" s="380"/>
      <c r="H6" s="381"/>
      <c r="J6" s="379"/>
      <c r="K6" s="379"/>
      <c r="L6" s="379"/>
      <c r="M6" s="379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"/>
      <c r="AY6" s="3"/>
      <c r="AZ6" s="115" t="s">
        <v>223</v>
      </c>
      <c r="BA6" s="115"/>
      <c r="BB6" s="115"/>
      <c r="BC6" s="115">
        <v>5025</v>
      </c>
      <c r="BD6" s="157"/>
      <c r="BE6" s="115"/>
      <c r="BF6" s="115"/>
      <c r="BG6" s="115"/>
      <c r="BH6" s="115"/>
      <c r="BI6" s="115"/>
      <c r="BJ6" s="115"/>
      <c r="BK6" s="115"/>
      <c r="BL6" s="115"/>
      <c r="BM6" s="158"/>
      <c r="BN6" s="158"/>
      <c r="BO6" s="158"/>
      <c r="BP6" s="158"/>
      <c r="BQ6" s="158"/>
      <c r="BR6" s="158"/>
      <c r="BS6" s="6"/>
      <c r="BT6" s="6"/>
      <c r="BU6" s="6"/>
      <c r="BV6" s="45" t="s">
        <v>83</v>
      </c>
      <c r="CD6" s="1" t="s">
        <v>386</v>
      </c>
      <c r="CE6" s="1" t="s">
        <v>210</v>
      </c>
      <c r="CF6" s="1">
        <f>IF(E6=CD6,9,8)</f>
        <v>8</v>
      </c>
      <c r="CJ6" s="43">
        <v>0</v>
      </c>
    </row>
    <row r="7" spans="2:88" ht="25.05" customHeight="1" x14ac:dyDescent="0.3">
      <c r="B7" s="384" t="s">
        <v>110</v>
      </c>
      <c r="C7" s="385"/>
      <c r="D7" s="385"/>
      <c r="E7" s="380" t="s">
        <v>119</v>
      </c>
      <c r="F7" s="380"/>
      <c r="G7" s="380"/>
      <c r="H7" s="381"/>
      <c r="J7" s="428" t="s">
        <v>164</v>
      </c>
      <c r="K7" s="429"/>
      <c r="L7" s="429"/>
      <c r="M7" s="429"/>
      <c r="N7" s="429"/>
      <c r="O7" s="430"/>
      <c r="P7" s="270"/>
      <c r="Q7" s="270"/>
      <c r="R7" s="219"/>
      <c r="S7" s="270"/>
      <c r="T7" s="318"/>
      <c r="U7" s="419" t="s">
        <v>88</v>
      </c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20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3" t="s">
        <v>230</v>
      </c>
      <c r="AY7" s="3"/>
      <c r="AZ7" s="157" t="s">
        <v>224</v>
      </c>
      <c r="BA7" s="157"/>
      <c r="BB7" s="157"/>
      <c r="BC7" s="115">
        <v>5350</v>
      </c>
      <c r="BD7" s="157"/>
      <c r="BE7" s="115"/>
      <c r="BF7" s="115"/>
      <c r="BG7" s="115"/>
      <c r="BH7" s="115"/>
      <c r="BI7" s="115"/>
      <c r="BJ7" s="115"/>
      <c r="BK7" s="115"/>
      <c r="BL7" s="115"/>
      <c r="BM7" s="158"/>
      <c r="BN7" s="158"/>
      <c r="BO7" s="158"/>
      <c r="BP7" s="158"/>
      <c r="BQ7" s="158"/>
      <c r="BR7" s="158"/>
      <c r="BS7" s="6"/>
      <c r="BT7" s="6"/>
      <c r="BU7" s="6"/>
      <c r="BV7" s="45" t="s">
        <v>84</v>
      </c>
      <c r="CD7" s="1" t="s">
        <v>387</v>
      </c>
      <c r="CE7" s="1" t="s">
        <v>219</v>
      </c>
      <c r="CJ7" s="43">
        <v>1</v>
      </c>
    </row>
    <row r="8" spans="2:88" ht="25.05" customHeight="1" x14ac:dyDescent="0.3">
      <c r="B8" s="386" t="s">
        <v>111</v>
      </c>
      <c r="C8" s="387"/>
      <c r="D8" s="387"/>
      <c r="E8" s="392" t="s">
        <v>171</v>
      </c>
      <c r="F8" s="392"/>
      <c r="G8" s="392"/>
      <c r="H8" s="393"/>
      <c r="J8" s="350" t="s">
        <v>0</v>
      </c>
      <c r="K8" s="351" t="s">
        <v>1</v>
      </c>
      <c r="L8" s="351" t="s">
        <v>6</v>
      </c>
      <c r="M8" s="169" t="s">
        <v>232</v>
      </c>
      <c r="N8" s="169" t="s">
        <v>89</v>
      </c>
      <c r="O8" s="203" t="s">
        <v>18</v>
      </c>
      <c r="P8" s="114"/>
      <c r="Q8" s="114"/>
      <c r="R8" s="220" t="s">
        <v>19</v>
      </c>
      <c r="S8" s="114"/>
      <c r="T8" s="265"/>
      <c r="U8" s="86">
        <v>1000</v>
      </c>
      <c r="V8" s="86">
        <v>1250</v>
      </c>
      <c r="W8" s="86">
        <v>1800</v>
      </c>
      <c r="X8" s="86">
        <v>2000</v>
      </c>
      <c r="Y8" s="86">
        <v>2500</v>
      </c>
      <c r="Z8" s="86">
        <v>2700</v>
      </c>
      <c r="AA8" s="86">
        <v>3000</v>
      </c>
      <c r="AB8" s="86">
        <v>3600</v>
      </c>
      <c r="AC8" s="86">
        <v>3750</v>
      </c>
      <c r="AD8" s="86">
        <v>4000</v>
      </c>
      <c r="AE8" s="86">
        <v>5000</v>
      </c>
      <c r="AF8" s="86">
        <v>5400</v>
      </c>
      <c r="AG8" s="169" t="s">
        <v>89</v>
      </c>
      <c r="AH8" s="46" t="s">
        <v>19</v>
      </c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47"/>
      <c r="AY8" s="47"/>
      <c r="AZ8" s="86">
        <v>1000</v>
      </c>
      <c r="BA8" s="86">
        <v>1250</v>
      </c>
      <c r="BB8" s="86">
        <v>1800</v>
      </c>
      <c r="BC8" s="86">
        <v>2000</v>
      </c>
      <c r="BD8" s="86">
        <v>2500</v>
      </c>
      <c r="BE8" s="86">
        <v>2700</v>
      </c>
      <c r="BF8" s="86">
        <v>3000</v>
      </c>
      <c r="BG8" s="86">
        <v>3600</v>
      </c>
      <c r="BH8" s="86">
        <v>3750</v>
      </c>
      <c r="BI8" s="86">
        <v>4000</v>
      </c>
      <c r="BJ8" s="86">
        <v>5000</v>
      </c>
      <c r="BK8" s="116">
        <v>5400</v>
      </c>
      <c r="BL8" s="159"/>
      <c r="BM8" s="158"/>
      <c r="BN8" s="158"/>
      <c r="BO8" s="158"/>
      <c r="BP8" s="158"/>
      <c r="BQ8" s="158"/>
      <c r="BR8" s="158"/>
      <c r="BS8" s="6"/>
      <c r="BT8" s="6" t="s">
        <v>115</v>
      </c>
      <c r="BU8" s="6"/>
      <c r="BV8" s="1" t="s">
        <v>398</v>
      </c>
      <c r="CJ8" s="43">
        <v>2</v>
      </c>
    </row>
    <row r="9" spans="2:88" ht="25.05" customHeight="1" x14ac:dyDescent="0.35">
      <c r="B9" s="386" t="s">
        <v>112</v>
      </c>
      <c r="C9" s="387"/>
      <c r="D9" s="387"/>
      <c r="E9" s="394">
        <f>IF(OR(E8=BV9,E8=BV7,E8=BV8),2,IF(E8=BV10,3,IF(E8=BV11,4,1)))</f>
        <v>4</v>
      </c>
      <c r="F9" s="394"/>
      <c r="G9" s="394"/>
      <c r="H9" s="395"/>
      <c r="J9" s="19" t="s">
        <v>452</v>
      </c>
      <c r="K9" s="202" t="s">
        <v>456</v>
      </c>
      <c r="L9" s="349">
        <f>K4</f>
        <v>2540</v>
      </c>
      <c r="M9" s="359">
        <f>IF(E8=BV6,2,
IF(OR(E8=BV7,E8=BV8,E8=BV9,E8=BV2),4,
IF(E8=BV10,6,
IF(OR(E8=BV3,E8=BV4),#REF!*2,
IF(E8=BV11,8,0)))))</f>
        <v>8</v>
      </c>
      <c r="N9" s="349"/>
      <c r="O9" s="280">
        <f>IF(L9&gt;2650,M9,M9/2)</f>
        <v>4</v>
      </c>
      <c r="P9" s="208"/>
      <c r="Q9" s="208"/>
      <c r="R9" s="279">
        <f>O9*BT9</f>
        <v>14226.2</v>
      </c>
      <c r="S9" s="216"/>
      <c r="T9" s="322" t="str">
        <f>J9</f>
        <v>вертикальный профиль Smart</v>
      </c>
      <c r="U9" s="192">
        <f t="shared" ref="U9:AF11" si="0">IF($Z$3=$CE$21,AZ9,IF($Z$3=$CE$27,AZ33,IF($Z$3=$CE$28,AZ44,AZ21)))</f>
        <v>0</v>
      </c>
      <c r="V9" s="192">
        <f t="shared" si="0"/>
        <v>0</v>
      </c>
      <c r="W9" s="192">
        <f t="shared" si="0"/>
        <v>0</v>
      </c>
      <c r="X9" s="192">
        <f t="shared" si="0"/>
        <v>0</v>
      </c>
      <c r="Y9" s="192">
        <f t="shared" si="0"/>
        <v>0</v>
      </c>
      <c r="Z9" s="192">
        <f t="shared" si="0"/>
        <v>0</v>
      </c>
      <c r="AA9" s="192">
        <f t="shared" si="0"/>
        <v>0</v>
      </c>
      <c r="AB9" s="192">
        <f t="shared" si="0"/>
        <v>0</v>
      </c>
      <c r="AC9" s="192">
        <f t="shared" si="0"/>
        <v>0</v>
      </c>
      <c r="AD9" s="192">
        <f t="shared" si="0"/>
        <v>0</v>
      </c>
      <c r="AE9" s="192">
        <f t="shared" si="0"/>
        <v>0</v>
      </c>
      <c r="AF9" s="192">
        <f t="shared" si="0"/>
        <v>4</v>
      </c>
      <c r="AG9" s="105"/>
      <c r="AH9" s="193">
        <f>R9</f>
        <v>14226.2</v>
      </c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85">
        <v>0.69</v>
      </c>
      <c r="AY9" s="3">
        <f>AX9*L9*M9/1000</f>
        <v>14.020799999999999</v>
      </c>
      <c r="AZ9" s="115">
        <v>0</v>
      </c>
      <c r="BA9" s="115">
        <v>0</v>
      </c>
      <c r="BB9" s="115">
        <v>0</v>
      </c>
      <c r="BC9" s="115">
        <v>0</v>
      </c>
      <c r="BD9" s="115">
        <v>0</v>
      </c>
      <c r="BE9" s="115">
        <v>0</v>
      </c>
      <c r="BF9" s="115">
        <v>0</v>
      </c>
      <c r="BG9" s="115">
        <v>0</v>
      </c>
      <c r="BH9" s="115">
        <v>0</v>
      </c>
      <c r="BI9" s="115">
        <v>0</v>
      </c>
      <c r="BJ9" s="115">
        <v>0</v>
      </c>
      <c r="BK9" s="264">
        <f>O9</f>
        <v>4</v>
      </c>
      <c r="BL9" s="115"/>
      <c r="BM9" s="160"/>
      <c r="BN9" s="160"/>
      <c r="BO9" s="160"/>
      <c r="BP9" s="160"/>
      <c r="BQ9" s="160"/>
      <c r="BR9" s="160"/>
      <c r="BS9" s="118"/>
      <c r="BT9" s="118">
        <f t="array" ref="BT9">INDEX(Цены!J:J,MATCH(J9&amp;$E$7,Цены!C:C&amp;Цены!G:G,0))</f>
        <v>3556.55</v>
      </c>
      <c r="BU9" s="118"/>
      <c r="BV9" s="45" t="s">
        <v>85</v>
      </c>
      <c r="CE9" s="1" t="s">
        <v>390</v>
      </c>
    </row>
    <row r="10" spans="2:88" ht="25.05" customHeight="1" x14ac:dyDescent="0.3">
      <c r="B10" s="398" t="s">
        <v>17</v>
      </c>
      <c r="C10" s="399"/>
      <c r="D10" s="399"/>
      <c r="E10" s="405" t="s">
        <v>87</v>
      </c>
      <c r="F10" s="405"/>
      <c r="G10" s="405"/>
      <c r="H10" s="406"/>
      <c r="J10" s="19" t="s">
        <v>3</v>
      </c>
      <c r="K10" s="199" t="s">
        <v>172</v>
      </c>
      <c r="L10" s="349">
        <f>IF(E8=BV6,E4+K5-52,
IF(OR(E8=BV7,E8=BV8),E4+K5*2-104,
IF(OR(E8=BV9,E8=BV2,E8=BV4,E8=BV10,E8=BV11),E4,
IF(E8=BV3,E4+K5-39,0))))</f>
        <v>3000</v>
      </c>
      <c r="M10" s="359">
        <f>IF(E8=BV9,2,
IF(E8=BV10,2,
IF(OR(E8=BV6,E8=BV7,E8=BV8,E8=BV2),1,
IF(OR(E8=BV3,E8=BV4),#REF!,
IF(E8=BV11,2,0)))))</f>
        <v>2</v>
      </c>
      <c r="N10" s="349">
        <f>L10*M10</f>
        <v>6000</v>
      </c>
      <c r="O10" s="347">
        <f>IF(E4&gt;BC5,0,BM10+IF(BL10&gt;0,1,0))</f>
        <v>2</v>
      </c>
      <c r="P10" s="208"/>
      <c r="Q10" s="208"/>
      <c r="R10" s="279">
        <f>O10*BT10</f>
        <v>12193.06</v>
      </c>
      <c r="S10" s="216"/>
      <c r="T10" s="322" t="str">
        <f t="shared" ref="T10:T13" si="1">J10</f>
        <v>направляющая верхняя</v>
      </c>
      <c r="U10" s="192">
        <f t="shared" si="0"/>
        <v>0</v>
      </c>
      <c r="V10" s="192">
        <f t="shared" si="0"/>
        <v>0</v>
      </c>
      <c r="W10" s="192">
        <f t="shared" si="0"/>
        <v>0</v>
      </c>
      <c r="X10" s="192">
        <f t="shared" si="0"/>
        <v>0</v>
      </c>
      <c r="Y10" s="192">
        <f t="shared" si="0"/>
        <v>0</v>
      </c>
      <c r="Z10" s="192">
        <f t="shared" si="0"/>
        <v>0</v>
      </c>
      <c r="AA10" s="192">
        <f t="shared" si="0"/>
        <v>0</v>
      </c>
      <c r="AB10" s="192">
        <f t="shared" si="0"/>
        <v>0</v>
      </c>
      <c r="AC10" s="192">
        <f t="shared" si="0"/>
        <v>0</v>
      </c>
      <c r="AD10" s="192">
        <f t="shared" si="0"/>
        <v>0</v>
      </c>
      <c r="AE10" s="192">
        <f t="shared" si="0"/>
        <v>2</v>
      </c>
      <c r="AF10" s="192">
        <f t="shared" si="0"/>
        <v>0</v>
      </c>
      <c r="AG10" s="317">
        <f>AU10</f>
        <v>10000</v>
      </c>
      <c r="AH10" s="316">
        <f>Y10*BT10*0.5+AE10*BT10</f>
        <v>12193.06</v>
      </c>
      <c r="AI10" s="332">
        <f>U10*$U$8</f>
        <v>0</v>
      </c>
      <c r="AJ10" s="332">
        <f>V10*$V$8</f>
        <v>0</v>
      </c>
      <c r="AK10" s="332">
        <f>W10*$W$8</f>
        <v>0</v>
      </c>
      <c r="AL10" s="332">
        <f>X10*$X$8</f>
        <v>0</v>
      </c>
      <c r="AM10" s="332">
        <f>Y10*$Y$8</f>
        <v>0</v>
      </c>
      <c r="AN10" s="332">
        <f>Z10*$Z$8</f>
        <v>0</v>
      </c>
      <c r="AO10" s="332">
        <f>AA10*$AA$8</f>
        <v>0</v>
      </c>
      <c r="AP10" s="332">
        <f>AB10*$AB$8</f>
        <v>0</v>
      </c>
      <c r="AQ10" s="332">
        <f>AC10*$AC$8</f>
        <v>0</v>
      </c>
      <c r="AR10" s="332">
        <f>AD10*$AD$8</f>
        <v>0</v>
      </c>
      <c r="AS10" s="332">
        <f>AE10*$AE$8</f>
        <v>10000</v>
      </c>
      <c r="AT10" s="332">
        <f>AF10*$AF$8</f>
        <v>0</v>
      </c>
      <c r="AU10" s="332">
        <f>SUM(AI10:AT10)</f>
        <v>10000</v>
      </c>
      <c r="AV10" s="332"/>
      <c r="AW10" s="332"/>
      <c r="AX10" s="3"/>
      <c r="AY10" s="3"/>
      <c r="AZ10" s="117">
        <v>0</v>
      </c>
      <c r="BA10" s="117">
        <v>0</v>
      </c>
      <c r="BB10" s="117">
        <v>0</v>
      </c>
      <c r="BC10" s="117">
        <v>0</v>
      </c>
      <c r="BD10" s="115">
        <f>IF(AND(BL10&gt;0,BL10&lt;=2500),1,0)</f>
        <v>0</v>
      </c>
      <c r="BE10" s="117">
        <v>0</v>
      </c>
      <c r="BF10" s="117">
        <v>0</v>
      </c>
      <c r="BG10" s="117">
        <v>0</v>
      </c>
      <c r="BH10" s="117">
        <v>0</v>
      </c>
      <c r="BI10" s="117">
        <v>0</v>
      </c>
      <c r="BJ10" s="115">
        <f>IF(AND(BL10&gt;2500,BL10&lt;=4950),BM10+1,BM10)</f>
        <v>2</v>
      </c>
      <c r="BK10" s="117">
        <v>0</v>
      </c>
      <c r="BL10" s="157">
        <f>$N$10-INT($BC$5/$L$10)*$L$10*$BM$10</f>
        <v>0</v>
      </c>
      <c r="BM10" s="115">
        <f>IF($E$4&gt;$BC$5,0,INT($M$10/INT($BC$5/$L$10)))</f>
        <v>2</v>
      </c>
      <c r="BN10" s="115"/>
      <c r="BO10" s="115"/>
      <c r="BP10" s="115"/>
      <c r="BQ10" s="115"/>
      <c r="BR10" s="115"/>
      <c r="BS10" s="3"/>
      <c r="BT10" s="118">
        <f t="array" ref="BT10">IFERROR(INDEX(Цены!J:J,MATCH(J10&amp;$E$7,Цены!C:C&amp;Цены!G:G,0)),Цены!J33)</f>
        <v>6096.53</v>
      </c>
      <c r="BU10" s="3"/>
      <c r="BV10" s="45" t="s">
        <v>165</v>
      </c>
      <c r="CE10" s="1" t="s">
        <v>388</v>
      </c>
    </row>
    <row r="11" spans="2:88" ht="25.05" customHeight="1" x14ac:dyDescent="0.3">
      <c r="B11" s="396" t="s">
        <v>144</v>
      </c>
      <c r="C11" s="397"/>
      <c r="D11" s="397"/>
      <c r="E11" s="405" t="s">
        <v>116</v>
      </c>
      <c r="F11" s="405"/>
      <c r="G11" s="405"/>
      <c r="H11" s="406"/>
      <c r="J11" s="358" t="s">
        <v>4</v>
      </c>
      <c r="K11" s="202" t="s">
        <v>173</v>
      </c>
      <c r="L11" s="278">
        <f>IF(OR(E8=BV6,E8=BV7,E8=BV8),38,0)</f>
        <v>0</v>
      </c>
      <c r="M11" s="359">
        <f>IF(OR(E8=BV6,E8=BV7,E8=BV8),2,0)</f>
        <v>0</v>
      </c>
      <c r="N11" s="407">
        <f>L12*M12+L11*M11</f>
        <v>6000</v>
      </c>
      <c r="O11" s="422">
        <f>IF(E4&gt;BC5,0,BM11+IF(BL11&gt;0,1,0))</f>
        <v>2</v>
      </c>
      <c r="P11" s="208"/>
      <c r="Q11" s="208"/>
      <c r="R11" s="431">
        <f>O11*BT11</f>
        <v>4086.32</v>
      </c>
      <c r="S11" s="216"/>
      <c r="T11" s="322" t="str">
        <f t="shared" si="1"/>
        <v>накладка декоративная</v>
      </c>
      <c r="U11" s="404">
        <f t="shared" si="0"/>
        <v>0</v>
      </c>
      <c r="V11" s="404">
        <f t="shared" si="0"/>
        <v>0</v>
      </c>
      <c r="W11" s="404">
        <f t="shared" si="0"/>
        <v>0</v>
      </c>
      <c r="X11" s="404">
        <f t="shared" si="0"/>
        <v>0</v>
      </c>
      <c r="Y11" s="404">
        <f t="shared" si="0"/>
        <v>0</v>
      </c>
      <c r="Z11" s="404">
        <f t="shared" si="0"/>
        <v>0</v>
      </c>
      <c r="AA11" s="404">
        <f t="shared" si="0"/>
        <v>0</v>
      </c>
      <c r="AB11" s="404">
        <f t="shared" si="0"/>
        <v>0</v>
      </c>
      <c r="AC11" s="404">
        <f t="shared" si="0"/>
        <v>0</v>
      </c>
      <c r="AD11" s="404">
        <f t="shared" si="0"/>
        <v>0</v>
      </c>
      <c r="AE11" s="404">
        <f t="shared" si="0"/>
        <v>2</v>
      </c>
      <c r="AF11" s="404">
        <f t="shared" si="0"/>
        <v>0</v>
      </c>
      <c r="AG11" s="408">
        <f>AU11</f>
        <v>10000</v>
      </c>
      <c r="AH11" s="421">
        <f>(Y11*0.5+AE11)*BT11</f>
        <v>4086.32</v>
      </c>
      <c r="AI11" s="332">
        <f>U11*$U$8</f>
        <v>0</v>
      </c>
      <c r="AJ11" s="332">
        <f>V11*$V$8</f>
        <v>0</v>
      </c>
      <c r="AK11" s="332">
        <f>W11*$W$8</f>
        <v>0</v>
      </c>
      <c r="AL11" s="332">
        <f>X11*$X$8</f>
        <v>0</v>
      </c>
      <c r="AM11" s="332">
        <f>Y11*$Y$8</f>
        <v>0</v>
      </c>
      <c r="AN11" s="332">
        <f>Z11*$Z$8</f>
        <v>0</v>
      </c>
      <c r="AO11" s="332">
        <f>AA11*$AA$8</f>
        <v>0</v>
      </c>
      <c r="AP11" s="332">
        <f>AB11*$AB$8</f>
        <v>0</v>
      </c>
      <c r="AQ11" s="332">
        <f>AC11*$AC$8</f>
        <v>0</v>
      </c>
      <c r="AR11" s="332">
        <f>AD11*$AD$8</f>
        <v>0</v>
      </c>
      <c r="AS11" s="332">
        <f>AE11*$AE$8</f>
        <v>10000</v>
      </c>
      <c r="AT11" s="332">
        <f>AF11*$AF$8</f>
        <v>0</v>
      </c>
      <c r="AU11" s="332">
        <f>SUM(AI11:AT11)</f>
        <v>10000</v>
      </c>
      <c r="AV11" s="332"/>
      <c r="AW11" s="332"/>
      <c r="AX11" s="3"/>
      <c r="AY11" s="3"/>
      <c r="AZ11" s="117">
        <v>0</v>
      </c>
      <c r="BA11" s="117">
        <v>0</v>
      </c>
      <c r="BB11" s="117">
        <v>0</v>
      </c>
      <c r="BC11" s="117">
        <v>0</v>
      </c>
      <c r="BD11" s="115">
        <f>IF(AND(BL11&gt;0,BL11&lt;=2500),1,0)</f>
        <v>0</v>
      </c>
      <c r="BE11" s="117">
        <v>0</v>
      </c>
      <c r="BF11" s="117">
        <v>0</v>
      </c>
      <c r="BG11" s="117">
        <v>0</v>
      </c>
      <c r="BH11" s="117">
        <v>0</v>
      </c>
      <c r="BI11" s="117">
        <v>0</v>
      </c>
      <c r="BJ11" s="115">
        <f>IF(AND(BL11&gt;2500,BL11&lt;=5025),BM11+1,BM11)</f>
        <v>2</v>
      </c>
      <c r="BK11" s="117">
        <v>0</v>
      </c>
      <c r="BL11" s="157">
        <f>$N$11-INT($BC$6/($L$12+$L$11*$M$11))*($L$12+$L$11*$M$11)*BM11</f>
        <v>0</v>
      </c>
      <c r="BM11" s="115">
        <f>IF($E$4&gt;$BC$6,0,INT($M$12/INT($BC$6/($L$12+$L$11*$M$11))))</f>
        <v>2</v>
      </c>
      <c r="BN11" s="115"/>
      <c r="BO11" s="115"/>
      <c r="BP11" s="160"/>
      <c r="BQ11" s="160"/>
      <c r="BR11" s="160"/>
      <c r="BS11" s="118"/>
      <c r="BT11" s="118">
        <f t="array" ref="BT11">INDEX(Цены!J:J,MATCH(J11&amp;$E$7,Цены!C:C&amp;Цены!G:G,0))</f>
        <v>2043.16</v>
      </c>
      <c r="BU11" s="118"/>
      <c r="BV11" s="1" t="s">
        <v>171</v>
      </c>
      <c r="CE11" s="1" t="s">
        <v>389</v>
      </c>
    </row>
    <row r="12" spans="2:88" ht="25.05" customHeight="1" x14ac:dyDescent="0.3">
      <c r="B12" s="398" t="s">
        <v>149</v>
      </c>
      <c r="C12" s="399"/>
      <c r="D12" s="399"/>
      <c r="E12" s="380" t="s">
        <v>87</v>
      </c>
      <c r="F12" s="380"/>
      <c r="G12" s="380"/>
      <c r="H12" s="381"/>
      <c r="J12" s="358" t="s">
        <v>4</v>
      </c>
      <c r="K12" s="202" t="s">
        <v>173</v>
      </c>
      <c r="L12" s="103">
        <f>IF(OR(E8=BV6,E8=BV7,E8=BV8),L10,
IF(OR(E8=BV9,E8=BV2,E8=BV3,E8=BV4,E8=BV10,E8=BV11),L10,0))</f>
        <v>3000</v>
      </c>
      <c r="M12" s="104">
        <f>IF(OR(E8=BV6,E8=BV7,E8=BV8,E8=BV2,E8=BV3),1,
IF(OR(E8=BV9,E8=BV4,E8=BV11),2,
IF(E8=BV10,1,0)))</f>
        <v>2</v>
      </c>
      <c r="N12" s="407"/>
      <c r="O12" s="422"/>
      <c r="P12" s="208"/>
      <c r="Q12" s="208"/>
      <c r="R12" s="431"/>
      <c r="S12" s="216"/>
      <c r="T12" s="322" t="str">
        <f t="shared" si="1"/>
        <v>накладка декоративная</v>
      </c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8"/>
      <c r="AH12" s="421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"/>
      <c r="AY12" s="3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57"/>
      <c r="BM12" s="115"/>
      <c r="BN12" s="115"/>
      <c r="BO12" s="115"/>
      <c r="BP12" s="160"/>
      <c r="BQ12" s="160"/>
      <c r="BR12" s="160"/>
      <c r="BS12" s="118"/>
      <c r="BT12" s="118"/>
      <c r="BU12" s="118"/>
    </row>
    <row r="13" spans="2:88" ht="25.05" customHeight="1" x14ac:dyDescent="0.3">
      <c r="B13" s="396" t="s">
        <v>154</v>
      </c>
      <c r="C13" s="397"/>
      <c r="D13" s="397"/>
      <c r="E13" s="380">
        <v>0</v>
      </c>
      <c r="F13" s="380"/>
      <c r="G13" s="380"/>
      <c r="H13" s="381"/>
      <c r="J13" s="19" t="s">
        <v>2</v>
      </c>
      <c r="K13" s="202" t="s">
        <v>218</v>
      </c>
      <c r="L13" s="349">
        <f>K5-52</f>
        <v>709</v>
      </c>
      <c r="M13" s="359">
        <f>E9*2</f>
        <v>8</v>
      </c>
      <c r="N13" s="349">
        <f>L13*M13</f>
        <v>5672</v>
      </c>
      <c r="O13" s="347">
        <f>BM13+IF(BL13&gt;0,1,0)</f>
        <v>2</v>
      </c>
      <c r="P13" s="208"/>
      <c r="Q13" s="208"/>
      <c r="R13" s="279">
        <f>O13*BT13</f>
        <v>7049.72</v>
      </c>
      <c r="S13" s="216"/>
      <c r="T13" s="322" t="str">
        <f t="shared" si="1"/>
        <v>рамка верхняя</v>
      </c>
      <c r="U13" s="315">
        <f t="shared" ref="U13:AF14" si="2">IF($Z$3=$CE$21,AZ13,IF($Z$3=$CE$27,AZ37,IF($Z$3=$CE$28,AZ48,AZ25)))</f>
        <v>0</v>
      </c>
      <c r="V13" s="315">
        <f t="shared" si="2"/>
        <v>0</v>
      </c>
      <c r="W13" s="315">
        <f t="shared" si="2"/>
        <v>0</v>
      </c>
      <c r="X13" s="315">
        <f t="shared" si="2"/>
        <v>1</v>
      </c>
      <c r="Y13" s="315">
        <f t="shared" si="2"/>
        <v>0</v>
      </c>
      <c r="Z13" s="315">
        <f t="shared" si="2"/>
        <v>0</v>
      </c>
      <c r="AA13" s="315">
        <f t="shared" si="2"/>
        <v>0</v>
      </c>
      <c r="AB13" s="315">
        <f t="shared" si="2"/>
        <v>0</v>
      </c>
      <c r="AC13" s="315">
        <f t="shared" si="2"/>
        <v>0</v>
      </c>
      <c r="AD13" s="315">
        <f t="shared" si="2"/>
        <v>0</v>
      </c>
      <c r="AE13" s="315">
        <f t="shared" si="2"/>
        <v>1</v>
      </c>
      <c r="AF13" s="315">
        <f t="shared" si="2"/>
        <v>0</v>
      </c>
      <c r="AG13" s="317">
        <f>AU13</f>
        <v>7000</v>
      </c>
      <c r="AH13" s="316">
        <f>(U13*0.2+V13*0.25+X13*0.4+Y13*0.5+AA13*0.6+AC13*0.75+AD13*0.8+AE13)*BT13</f>
        <v>4934.8040000000001</v>
      </c>
      <c r="AI13" s="332">
        <f t="shared" ref="AI13:AI14" si="3">U13*$U$8</f>
        <v>0</v>
      </c>
      <c r="AJ13" s="332">
        <f t="shared" ref="AJ13:AJ14" si="4">V13*$V$8</f>
        <v>0</v>
      </c>
      <c r="AK13" s="332">
        <f t="shared" ref="AK13:AK14" si="5">W13*$W$8</f>
        <v>0</v>
      </c>
      <c r="AL13" s="332">
        <f t="shared" ref="AL13:AL14" si="6">X13*$X$8</f>
        <v>2000</v>
      </c>
      <c r="AM13" s="332">
        <f t="shared" ref="AM13:AM14" si="7">Y13*$Y$8</f>
        <v>0</v>
      </c>
      <c r="AN13" s="332">
        <f t="shared" ref="AN13:AN14" si="8">Z13*$Z$8</f>
        <v>0</v>
      </c>
      <c r="AO13" s="332">
        <f t="shared" ref="AO13:AO14" si="9">AA13*$AA$8</f>
        <v>0</v>
      </c>
      <c r="AP13" s="332">
        <f t="shared" ref="AP13:AP14" si="10">AB13*$AB$8</f>
        <v>0</v>
      </c>
      <c r="AQ13" s="332">
        <f t="shared" ref="AQ13:AQ14" si="11">AC13*$AC$8</f>
        <v>0</v>
      </c>
      <c r="AR13" s="332">
        <f t="shared" ref="AR13:AR14" si="12">AD13*$AD$8</f>
        <v>0</v>
      </c>
      <c r="AS13" s="332">
        <f t="shared" ref="AS13:AS14" si="13">AE13*$AE$8</f>
        <v>5000</v>
      </c>
      <c r="AT13" s="332">
        <f t="shared" ref="AT13:AT14" si="14">AF13*$AF$8</f>
        <v>0</v>
      </c>
      <c r="AU13" s="332">
        <f t="shared" ref="AU13:AU14" si="15">SUM(AI13:AT13)</f>
        <v>7000</v>
      </c>
      <c r="AV13" s="332"/>
      <c r="AW13" s="332"/>
      <c r="AX13" s="286">
        <v>0.47399999999999998</v>
      </c>
      <c r="AY13" s="3">
        <f>AX13*L13*M13/1000</f>
        <v>2.6885279999999998</v>
      </c>
      <c r="AZ13" s="115">
        <f>IF(AND(BL13&gt;0,BL13&lt;=1000),1,0)</f>
        <v>0</v>
      </c>
      <c r="BA13" s="117">
        <v>0</v>
      </c>
      <c r="BB13" s="117">
        <v>0</v>
      </c>
      <c r="BC13" s="115">
        <f>IF(AND(BL13&gt;1000,BL13&lt;=2000),1,0)</f>
        <v>1</v>
      </c>
      <c r="BD13" s="117">
        <v>0</v>
      </c>
      <c r="BE13" s="117">
        <v>0</v>
      </c>
      <c r="BF13" s="115">
        <f>IF(AND(BL13&gt;2000,BL13&lt;=3000),1,0)</f>
        <v>0</v>
      </c>
      <c r="BG13" s="117">
        <v>0</v>
      </c>
      <c r="BH13" s="117">
        <v>0</v>
      </c>
      <c r="BI13" s="115">
        <f>IF(AND(BL13&gt;3000,BL13&lt;=4000),1,0)</f>
        <v>0</v>
      </c>
      <c r="BJ13" s="115">
        <f>IF(AND(BL13&gt;4000,BL13&lt;=4950),BM13+1,BM13)</f>
        <v>1</v>
      </c>
      <c r="BK13" s="117">
        <v>0</v>
      </c>
      <c r="BL13" s="157">
        <f>N13-INT($BC$5/L13)*L13*BM13</f>
        <v>1418</v>
      </c>
      <c r="BM13" s="115">
        <f>INT(M13/INT($BC$5/L13))</f>
        <v>1</v>
      </c>
      <c r="BN13" s="115"/>
      <c r="BO13" s="115"/>
      <c r="BP13" s="160"/>
      <c r="BQ13" s="160"/>
      <c r="BR13" s="161"/>
      <c r="BS13" s="126"/>
      <c r="BT13" s="118">
        <f t="array" ref="BT13">INDEX(Цены!J:J,MATCH(J13&amp;$E$7,Цены!C:C&amp;Цены!G:G,0))</f>
        <v>3524.86</v>
      </c>
      <c r="BU13" s="118"/>
    </row>
    <row r="14" spans="2:88" ht="25.05" customHeight="1" thickBot="1" x14ac:dyDescent="0.35">
      <c r="B14" s="400" t="s">
        <v>399</v>
      </c>
      <c r="C14" s="401"/>
      <c r="D14" s="401"/>
      <c r="E14" s="402">
        <v>0</v>
      </c>
      <c r="F14" s="402"/>
      <c r="G14" s="402"/>
      <c r="H14" s="403"/>
      <c r="J14" s="107" t="str">
        <f>E6</f>
        <v>рамка средняя 4в1</v>
      </c>
      <c r="K14" s="202" t="str">
        <f>IF(J14=CD6,CE6,CE7)</f>
        <v>FA0716.VP500</v>
      </c>
      <c r="L14" s="349">
        <f>IF(AND(E6=CD7,E5&gt;0),K5-52,IF(AND(E6=CD6,E5&gt;0),K5-51,0))</f>
        <v>0</v>
      </c>
      <c r="M14" s="359">
        <f>E9*E5</f>
        <v>0</v>
      </c>
      <c r="N14" s="349">
        <f>L14*M14</f>
        <v>0</v>
      </c>
      <c r="O14" s="347">
        <f>IF(J14=CD7,BM14+IF(BL14&gt;0,1,0),BP14+IF(BO14&gt;0,1,0))</f>
        <v>0</v>
      </c>
      <c r="P14" s="208"/>
      <c r="Q14" s="208"/>
      <c r="R14" s="276">
        <f>O14*BT14</f>
        <v>0</v>
      </c>
      <c r="S14" s="216"/>
      <c r="T14" s="322" t="str">
        <f>J14</f>
        <v>рамка средняя 4в1</v>
      </c>
      <c r="U14" s="315">
        <f t="shared" si="2"/>
        <v>0</v>
      </c>
      <c r="V14" s="315">
        <f t="shared" si="2"/>
        <v>0</v>
      </c>
      <c r="W14" s="315">
        <f t="shared" si="2"/>
        <v>0</v>
      </c>
      <c r="X14" s="315">
        <f t="shared" si="2"/>
        <v>0</v>
      </c>
      <c r="Y14" s="315">
        <f t="shared" si="2"/>
        <v>0</v>
      </c>
      <c r="Z14" s="315">
        <f t="shared" si="2"/>
        <v>0</v>
      </c>
      <c r="AA14" s="315">
        <f t="shared" si="2"/>
        <v>0</v>
      </c>
      <c r="AB14" s="315">
        <f t="shared" si="2"/>
        <v>0</v>
      </c>
      <c r="AC14" s="315">
        <f t="shared" si="2"/>
        <v>0</v>
      </c>
      <c r="AD14" s="315">
        <f t="shared" si="2"/>
        <v>0</v>
      </c>
      <c r="AE14" s="315">
        <f t="shared" si="2"/>
        <v>0</v>
      </c>
      <c r="AF14" s="315">
        <f t="shared" si="2"/>
        <v>0</v>
      </c>
      <c r="AG14" s="317">
        <f>AU14</f>
        <v>0</v>
      </c>
      <c r="AH14" s="320">
        <f>IF(E6=CD6,AW15,AV15)</f>
        <v>0</v>
      </c>
      <c r="AI14" s="332">
        <f t="shared" si="3"/>
        <v>0</v>
      </c>
      <c r="AJ14" s="332">
        <f t="shared" si="4"/>
        <v>0</v>
      </c>
      <c r="AK14" s="332">
        <f t="shared" si="5"/>
        <v>0</v>
      </c>
      <c r="AL14" s="332">
        <f t="shared" si="6"/>
        <v>0</v>
      </c>
      <c r="AM14" s="332">
        <f t="shared" si="7"/>
        <v>0</v>
      </c>
      <c r="AN14" s="332">
        <f t="shared" si="8"/>
        <v>0</v>
      </c>
      <c r="AO14" s="332">
        <f t="shared" si="9"/>
        <v>0</v>
      </c>
      <c r="AP14" s="332">
        <f t="shared" si="10"/>
        <v>0</v>
      </c>
      <c r="AQ14" s="332">
        <f t="shared" si="11"/>
        <v>0</v>
      </c>
      <c r="AR14" s="332">
        <f t="shared" si="12"/>
        <v>0</v>
      </c>
      <c r="AS14" s="332">
        <f t="shared" si="13"/>
        <v>0</v>
      </c>
      <c r="AT14" s="332">
        <f t="shared" si="14"/>
        <v>0</v>
      </c>
      <c r="AU14" s="332">
        <f t="shared" si="15"/>
        <v>0</v>
      </c>
      <c r="AV14" s="160" t="s">
        <v>225</v>
      </c>
      <c r="AW14" s="161" t="s">
        <v>226</v>
      </c>
      <c r="AX14" s="286">
        <v>0.58499999999999996</v>
      </c>
      <c r="AY14" s="3">
        <f>AX14*L14*M14/1000</f>
        <v>0</v>
      </c>
      <c r="AZ14" s="162">
        <f>IF(AND(J14=CD7,BL14&gt;0,BL14&lt;=1000),1,0)</f>
        <v>0</v>
      </c>
      <c r="BA14" s="117">
        <v>0</v>
      </c>
      <c r="BB14" s="163">
        <f>IF(AND(J14=CD6,BO14&gt;0,BO14&lt;=1800),1,0)</f>
        <v>0</v>
      </c>
      <c r="BC14" s="162">
        <f>IF(AND(J14=CD7,BL14&gt;1000,BL14&lt;=2000),1,0)</f>
        <v>0</v>
      </c>
      <c r="BD14" s="117">
        <v>0</v>
      </c>
      <c r="BE14" s="163">
        <f>IF(AND(J14=CD6,BO14&gt;1800,BO14&lt;=2700),1,0)</f>
        <v>0</v>
      </c>
      <c r="BF14" s="162">
        <f>IF(AND(J14=CD7,BL14&gt;2000,BL14&lt;=3000),1,0)</f>
        <v>0</v>
      </c>
      <c r="BG14" s="163">
        <f>IF(AND(J14=CD6,BO14&gt;2700,BO14&lt;=3600),1,0)</f>
        <v>0</v>
      </c>
      <c r="BH14" s="117">
        <v>0</v>
      </c>
      <c r="BI14" s="162">
        <f>IF(AND(J14=CD7,BL14&gt;3000,BL14&lt;=4000),1,0)</f>
        <v>0</v>
      </c>
      <c r="BJ14" s="162">
        <f>IF(AND(J14=CD7,BL14&gt;4000,BL14&lt;=4950),BM14+1,BM14)</f>
        <v>0</v>
      </c>
      <c r="BK14" s="163">
        <f>IF(AND(J14=CD6,BO14&gt;3600,BO14&lt;=5350),BP14+1,BP14)</f>
        <v>0</v>
      </c>
      <c r="BL14" s="157">
        <f>IF(E5&lt;&gt;0,N14-INT(BC5/L14)*L14*BM14,0)</f>
        <v>0</v>
      </c>
      <c r="BM14" s="115">
        <f>IF(AND(E6=CD7,E5&lt;&gt;0),INT(M14/INT(BC5/L14)),0)</f>
        <v>0</v>
      </c>
      <c r="BN14" s="115"/>
      <c r="BO14" s="115">
        <f>IF(E5&lt;&gt;0,N14-INT(BC7/L14)*L14*BP14,0)</f>
        <v>0</v>
      </c>
      <c r="BP14" s="160">
        <f>IF(AND(E6=CD6,E5&lt;&gt;0),INT(M14/INT(BC7/L14)),0)</f>
        <v>0</v>
      </c>
      <c r="BQ14" s="160"/>
      <c r="BR14" s="160"/>
      <c r="BS14" s="118"/>
      <c r="BT14" s="118">
        <f t="array" ref="BT14">INDEX(Цены!J:J,MATCH(J14&amp;$E$7,Цены!C:C&amp;Цены!G:G,0))</f>
        <v>4119.82</v>
      </c>
      <c r="BU14" s="126"/>
      <c r="CE14" s="1" t="s">
        <v>157</v>
      </c>
    </row>
    <row r="15" spans="2:88" ht="25.05" customHeight="1" thickBot="1" x14ac:dyDescent="0.4">
      <c r="B15" s="1" t="s">
        <v>397</v>
      </c>
      <c r="J15" s="225"/>
      <c r="K15" s="226"/>
      <c r="L15" s="226"/>
      <c r="M15" s="226"/>
      <c r="N15" s="226"/>
      <c r="O15" s="227"/>
      <c r="P15" s="207"/>
      <c r="Q15" s="228"/>
      <c r="R15" s="111">
        <f>SUM(R9:R14)</f>
        <v>37555.300000000003</v>
      </c>
      <c r="S15" s="216"/>
      <c r="T15" s="267"/>
      <c r="U15" s="432" t="s">
        <v>91</v>
      </c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3"/>
      <c r="AH15" s="111">
        <f>SUM(AH9:AH14)</f>
        <v>35440.384000000005</v>
      </c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>
        <f>(U14*0.2+V14*0.25+X14*0.4+Y14*0.5+AA14*0.6+AC14*0.75+AD14*0.8+AE14)*BT14</f>
        <v>0</v>
      </c>
      <c r="AW15" s="217">
        <f>(W14*0.34+Z14*0.5+AB14*0.67+AF14)*BT14</f>
        <v>0</v>
      </c>
      <c r="AX15" s="287">
        <v>0.33600000000000002</v>
      </c>
      <c r="AY15" s="3">
        <f>AX15*L14*M14/1000</f>
        <v>0</v>
      </c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26" t="s">
        <v>444</v>
      </c>
      <c r="BM15" s="426"/>
      <c r="BN15" s="4"/>
      <c r="BO15" s="425" t="s">
        <v>384</v>
      </c>
      <c r="BP15" s="425"/>
      <c r="BQ15" s="4"/>
      <c r="BR15" s="4"/>
      <c r="BS15" s="4"/>
      <c r="BT15" s="4"/>
      <c r="BU15" s="118"/>
      <c r="CE15" s="1" t="s">
        <v>158</v>
      </c>
    </row>
    <row r="16" spans="2:88" ht="25.05" customHeight="1" thickBot="1" x14ac:dyDescent="0.35">
      <c r="J16" s="10"/>
      <c r="K16" s="6"/>
      <c r="L16" s="6"/>
      <c r="M16" s="6"/>
      <c r="N16" s="6"/>
      <c r="O16" s="11"/>
      <c r="S16" s="217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Z16" s="328"/>
      <c r="BA16" s="48" t="s">
        <v>440</v>
      </c>
      <c r="BU16" s="4"/>
    </row>
    <row r="17" spans="2:83" ht="25.05" customHeight="1" thickBot="1" x14ac:dyDescent="0.35">
      <c r="B17" s="50"/>
      <c r="C17" s="51"/>
      <c r="D17" s="51"/>
      <c r="E17" s="51"/>
      <c r="F17" s="51"/>
      <c r="G17" s="51"/>
      <c r="H17" s="52"/>
      <c r="J17" s="10"/>
      <c r="K17" s="6"/>
      <c r="L17" s="6"/>
      <c r="M17" s="6"/>
      <c r="N17" s="6"/>
      <c r="O17" s="11"/>
      <c r="P17" s="5"/>
      <c r="Q17" s="5"/>
      <c r="R17" s="6"/>
      <c r="S17" s="5"/>
      <c r="T17" s="5"/>
      <c r="U17" s="6"/>
      <c r="V17" s="6"/>
      <c r="W17" s="6"/>
      <c r="X17" s="6"/>
      <c r="Y17" s="6"/>
      <c r="Z17" s="6"/>
      <c r="AA17" s="6"/>
      <c r="AB17" s="427" t="s">
        <v>90</v>
      </c>
      <c r="AC17" s="427"/>
      <c r="AD17" s="427"/>
      <c r="AE17" s="427"/>
      <c r="AF17" s="427"/>
      <c r="AG17" s="427"/>
      <c r="AH17" s="224">
        <f>AH15+R39</f>
        <v>53674.614000000009</v>
      </c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3"/>
      <c r="AY17" s="48">
        <f>IF(E6=CD6,AY9+AY13+AY15,AY9+AY13+AY14)</f>
        <v>16.709327999999999</v>
      </c>
      <c r="AZ17" s="329"/>
      <c r="BA17" s="3" t="s">
        <v>441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V17" s="1" t="s">
        <v>161</v>
      </c>
    </row>
    <row r="18" spans="2:83" ht="25.05" customHeight="1" thickBot="1" x14ac:dyDescent="0.35">
      <c r="B18" s="168" t="s">
        <v>95</v>
      </c>
      <c r="C18" s="54">
        <f>E5+1</f>
        <v>1</v>
      </c>
      <c r="D18" s="55" t="str">
        <f>IF(C18&gt;5,BV33,BV34)</f>
        <v xml:space="preserve"> </v>
      </c>
      <c r="E18" s="355"/>
      <c r="F18" s="355"/>
      <c r="G18" s="355"/>
      <c r="H18" s="56"/>
      <c r="J18" s="10"/>
      <c r="K18" s="6"/>
      <c r="L18" s="6"/>
      <c r="M18" s="6"/>
      <c r="N18" s="6"/>
      <c r="O18" s="11"/>
      <c r="P18" s="5"/>
      <c r="Q18" s="5"/>
      <c r="R18" s="6"/>
      <c r="S18" s="5"/>
      <c r="T18" s="5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3"/>
      <c r="AY18" s="119">
        <f>IF(OR(E8=BV3,E8=BV4),AY17/#REF!,AY17/E9)</f>
        <v>4.1773319999999998</v>
      </c>
      <c r="AZ18" s="3"/>
      <c r="BA18" s="3"/>
      <c r="BB18" s="3"/>
      <c r="BC18" s="3"/>
      <c r="BD18" s="3"/>
      <c r="BE18" s="204" t="s">
        <v>381</v>
      </c>
      <c r="BF18" s="3"/>
      <c r="BG18" s="3"/>
      <c r="BH18" s="3"/>
      <c r="BI18" s="3"/>
      <c r="BJ18" s="3"/>
      <c r="BK18" s="3"/>
      <c r="BL18" s="3"/>
      <c r="BV18" s="1" t="s">
        <v>158</v>
      </c>
    </row>
    <row r="19" spans="2:83" ht="25.05" customHeight="1" thickBot="1" x14ac:dyDescent="0.35">
      <c r="B19" s="58"/>
      <c r="C19" s="59"/>
      <c r="D19" s="59"/>
      <c r="E19" s="59"/>
      <c r="F19" s="59"/>
      <c r="G19" s="59"/>
      <c r="H19" s="60"/>
      <c r="J19" s="356" t="s">
        <v>163</v>
      </c>
      <c r="K19" s="352"/>
      <c r="L19" s="352"/>
      <c r="M19" s="6"/>
      <c r="N19" s="6"/>
      <c r="O19" s="11"/>
      <c r="P19" s="5"/>
      <c r="Q19" s="5"/>
      <c r="R19" s="6"/>
      <c r="S19" s="5"/>
      <c r="T19" s="5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38"/>
      <c r="AJ19" s="238"/>
      <c r="AK19" s="238"/>
      <c r="AL19" s="238"/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8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</row>
    <row r="20" spans="2:83" ht="25.05" customHeight="1" x14ac:dyDescent="0.3">
      <c r="B20" s="58"/>
      <c r="C20" s="59"/>
      <c r="D20" s="59"/>
      <c r="E20" s="59"/>
      <c r="F20" s="59"/>
      <c r="G20" s="59"/>
      <c r="H20" s="60"/>
      <c r="J20" s="373" t="s">
        <v>0</v>
      </c>
      <c r="K20" s="374"/>
      <c r="L20" s="374"/>
      <c r="M20" s="374"/>
      <c r="N20" s="353" t="s">
        <v>1</v>
      </c>
      <c r="O20" s="203" t="s">
        <v>7</v>
      </c>
      <c r="P20" s="114"/>
      <c r="Q20" s="114"/>
      <c r="R20" s="222" t="s">
        <v>19</v>
      </c>
      <c r="S20" s="114"/>
      <c r="T20" s="114"/>
      <c r="U20" s="334"/>
      <c r="V20" s="334"/>
      <c r="W20" s="334"/>
      <c r="X20" s="334"/>
      <c r="Y20" s="334"/>
      <c r="Z20" s="334"/>
      <c r="AA20" s="334"/>
      <c r="AB20" s="334"/>
      <c r="AC20" s="334"/>
      <c r="AD20" s="334"/>
      <c r="AE20" s="334"/>
      <c r="AF20" s="334"/>
      <c r="AG20" s="335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47"/>
      <c r="AY20" s="47"/>
      <c r="AZ20" s="86">
        <v>1000</v>
      </c>
      <c r="BA20" s="86">
        <v>1250</v>
      </c>
      <c r="BB20" s="86">
        <v>1800</v>
      </c>
      <c r="BC20" s="86">
        <v>2000</v>
      </c>
      <c r="BD20" s="86">
        <v>2500</v>
      </c>
      <c r="BE20" s="86">
        <v>2700</v>
      </c>
      <c r="BF20" s="86">
        <v>3000</v>
      </c>
      <c r="BG20" s="86">
        <v>3600</v>
      </c>
      <c r="BH20" s="86">
        <v>3750</v>
      </c>
      <c r="BI20" s="86">
        <v>4000</v>
      </c>
      <c r="BJ20" s="86">
        <v>5000</v>
      </c>
      <c r="BK20" s="116">
        <v>5400</v>
      </c>
      <c r="BL20" s="159"/>
      <c r="BM20" s="158"/>
      <c r="BN20" s="158"/>
      <c r="BO20" s="158"/>
      <c r="BP20" s="158"/>
      <c r="BQ20" s="158"/>
      <c r="BR20" s="158"/>
      <c r="BS20" s="6"/>
      <c r="BT20" s="6"/>
      <c r="BV20" s="1" t="s">
        <v>80</v>
      </c>
    </row>
    <row r="21" spans="2:83" ht="25.05" customHeight="1" x14ac:dyDescent="0.3">
      <c r="B21" s="61" t="s">
        <v>96</v>
      </c>
      <c r="C21" s="354" t="s">
        <v>97</v>
      </c>
      <c r="D21" s="62" t="s">
        <v>73</v>
      </c>
      <c r="E21" s="354" t="s">
        <v>98</v>
      </c>
      <c r="F21" s="354" t="s">
        <v>99</v>
      </c>
      <c r="G21" s="354" t="s">
        <v>114</v>
      </c>
      <c r="H21" s="63" t="s">
        <v>115</v>
      </c>
      <c r="J21" s="375" t="s">
        <v>146</v>
      </c>
      <c r="K21" s="376"/>
      <c r="L21" s="376"/>
      <c r="M21" s="376"/>
      <c r="N21" s="170" t="s">
        <v>192</v>
      </c>
      <c r="O21" s="194">
        <f>E9</f>
        <v>4</v>
      </c>
      <c r="P21" s="209"/>
      <c r="Q21" s="209"/>
      <c r="R21" s="223">
        <f>O21*Цены!J149</f>
        <v>13162.68</v>
      </c>
      <c r="S21" s="205"/>
      <c r="T21" s="260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47"/>
      <c r="AY21" s="47"/>
      <c r="AZ21" s="115">
        <v>0</v>
      </c>
      <c r="BA21" s="115">
        <v>0</v>
      </c>
      <c r="BB21" s="115">
        <v>0</v>
      </c>
      <c r="BC21" s="115">
        <v>0</v>
      </c>
      <c r="BD21" s="115">
        <v>0</v>
      </c>
      <c r="BE21" s="115">
        <v>0</v>
      </c>
      <c r="BF21" s="115">
        <v>0</v>
      </c>
      <c r="BG21" s="115">
        <v>0</v>
      </c>
      <c r="BH21" s="115">
        <v>0</v>
      </c>
      <c r="BI21" s="115">
        <v>0</v>
      </c>
      <c r="BJ21" s="115">
        <v>0</v>
      </c>
      <c r="BK21" s="264">
        <f>BK9</f>
        <v>4</v>
      </c>
      <c r="BL21" s="115"/>
      <c r="BM21" s="160"/>
      <c r="BN21" s="160"/>
      <c r="BO21" s="160"/>
      <c r="BP21" s="160"/>
      <c r="BQ21" s="160"/>
      <c r="BR21" s="160"/>
      <c r="BS21" s="118"/>
      <c r="BT21" s="118"/>
      <c r="BV21" s="1" t="s">
        <v>81</v>
      </c>
      <c r="CE21" s="1" t="s">
        <v>375</v>
      </c>
    </row>
    <row r="22" spans="2:83" ht="25.05" customHeight="1" x14ac:dyDescent="0.3">
      <c r="B22" s="64" t="s">
        <v>100</v>
      </c>
      <c r="C22" s="13" t="s">
        <v>11</v>
      </c>
      <c r="D22" s="85">
        <v>0</v>
      </c>
      <c r="E22" s="14">
        <f>K4-IF(E26=0,0,IF(C26=BV27,E26,IF(C26=BV28,E26+2,E26+3)))-IF(E25=0,0,IF(C25=BV27,E25,IF(C25=BV28,E25+2,E25+3)))-IF(E24=0,0,IF(C24=BV27,E24,IF(C24=BV28,E24+2,E24+3)))-IF(E23=0,0,IF(C23=BV27,E23,IF(C23=BV28,E23+2,E23+3)))-44-IF(C22=BV28,2,IF(C22=BV29,3,0))-E5*CF6</f>
        <v>2493</v>
      </c>
      <c r="F22" s="65">
        <f>IF(C22=$BV$29,$K$5-39,IF(C22=$BV$28,$K$5-38,$K$5-36))</f>
        <v>722</v>
      </c>
      <c r="G22" s="66">
        <f>$E$9</f>
        <v>4</v>
      </c>
      <c r="H22" s="67">
        <f>E22*F22*D22*G22/1000000</f>
        <v>0</v>
      </c>
      <c r="J22" s="375" t="s">
        <v>62</v>
      </c>
      <c r="K22" s="376"/>
      <c r="L22" s="376"/>
      <c r="M22" s="376"/>
      <c r="N22" s="170" t="s">
        <v>193</v>
      </c>
      <c r="O22" s="194">
        <f>IF(OR(E8=BV6,E8=BV7,E8=BV8,E8=BV9),O21,
IF(E8=BV10,3,
IF(E8=BV11,6,0)))</f>
        <v>6</v>
      </c>
      <c r="P22" s="209"/>
      <c r="Q22" s="209"/>
      <c r="R22" s="223">
        <f>O22*Цены!J151</f>
        <v>1135.6200000000001</v>
      </c>
      <c r="S22" s="205"/>
      <c r="T22" s="260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336"/>
      <c r="AH22" s="332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47"/>
      <c r="AY22" s="47"/>
      <c r="AZ22" s="117">
        <v>0</v>
      </c>
      <c r="BA22" s="117">
        <v>0</v>
      </c>
      <c r="BB22" s="117">
        <v>0</v>
      </c>
      <c r="BC22" s="117">
        <v>0</v>
      </c>
      <c r="BD22" s="115">
        <f>$BD$10</f>
        <v>0</v>
      </c>
      <c r="BE22" s="117">
        <v>0</v>
      </c>
      <c r="BF22" s="117">
        <v>0</v>
      </c>
      <c r="BG22" s="117">
        <v>0</v>
      </c>
      <c r="BH22" s="117">
        <v>0</v>
      </c>
      <c r="BI22" s="117">
        <v>0</v>
      </c>
      <c r="BJ22" s="115">
        <f>$BJ$10</f>
        <v>2</v>
      </c>
      <c r="BK22" s="117">
        <v>0</v>
      </c>
      <c r="BL22" s="157">
        <f>$BL$10</f>
        <v>0</v>
      </c>
      <c r="BM22" s="157">
        <f>$BM$10</f>
        <v>2</v>
      </c>
      <c r="BN22" s="115"/>
      <c r="BO22" s="115"/>
      <c r="BP22" s="115"/>
      <c r="BQ22" s="115"/>
      <c r="BR22" s="115"/>
      <c r="BS22" s="3"/>
      <c r="BT22" s="3"/>
      <c r="CE22" s="1" t="s">
        <v>380</v>
      </c>
    </row>
    <row r="23" spans="2:83" ht="25.05" customHeight="1" x14ac:dyDescent="0.3">
      <c r="B23" s="64" t="s">
        <v>101</v>
      </c>
      <c r="C23" s="13" t="s">
        <v>11</v>
      </c>
      <c r="D23" s="85">
        <v>0</v>
      </c>
      <c r="E23" s="15">
        <v>0</v>
      </c>
      <c r="F23" s="65">
        <f>IF(C23=$BV$29,$K$5-39,IF(C23=$BV$28,$K$5-38,$K$5-36))</f>
        <v>722</v>
      </c>
      <c r="G23" s="66">
        <f>IF(E23&lt;&gt;0,$E$9,0)</f>
        <v>0</v>
      </c>
      <c r="H23" s="67">
        <f t="shared" ref="H23:H26" si="16">E23*F23*D23*G23/1000000</f>
        <v>0</v>
      </c>
      <c r="J23" s="368" t="s">
        <v>68</v>
      </c>
      <c r="K23" s="369"/>
      <c r="L23" s="369"/>
      <c r="M23" s="369"/>
      <c r="N23" s="171" t="s">
        <v>194</v>
      </c>
      <c r="O23" s="194">
        <f>IF(OR(E8=BV6,E8=BV9,E8=BV10),ROUNDUP((O21*2-O26)/2,0),
IF(AND(O26=0,OR(E8=BV7,E8=BV8)),2,
IF(AND(O26=0,E8=BV11),3,
IF(AND(E10=BV23,OR(E8=BV7,E8=BV8)),0,
IF(AND(E10=BV23,E8=BV11),1,
IF(AND(E10=BV24,OR(E8=BV7,E8=BV8)),ROUNDUP((O21*2-O26)/2,0),
IF(AND(E10=BV24,E8=BV11),ROUNDUP(((O21-2)*2-O26)/2+1,0),0)))))))</f>
        <v>3</v>
      </c>
      <c r="P23" s="209"/>
      <c r="Q23" s="209"/>
      <c r="R23" s="223">
        <f>O23*Цены!J157</f>
        <v>1776.87</v>
      </c>
      <c r="S23" s="205"/>
      <c r="T23" s="26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17"/>
      <c r="AH23" s="89"/>
      <c r="AI23" s="332"/>
      <c r="AJ23" s="332"/>
      <c r="AK23" s="332"/>
      <c r="AL23" s="332"/>
      <c r="AM23" s="332"/>
      <c r="AN23" s="332"/>
      <c r="AO23" s="332"/>
      <c r="AP23" s="332"/>
      <c r="AQ23" s="332"/>
      <c r="AR23" s="332"/>
      <c r="AS23" s="332"/>
      <c r="AT23" s="332"/>
      <c r="AU23" s="332"/>
      <c r="AV23" s="332"/>
      <c r="AW23" s="332"/>
      <c r="AX23" s="47"/>
      <c r="AY23" s="47"/>
      <c r="AZ23" s="117">
        <v>0</v>
      </c>
      <c r="BA23" s="117">
        <v>0</v>
      </c>
      <c r="BB23" s="117">
        <v>0</v>
      </c>
      <c r="BC23" s="117">
        <v>0</v>
      </c>
      <c r="BD23" s="115">
        <f>$BD$11</f>
        <v>0</v>
      </c>
      <c r="BE23" s="117">
        <v>0</v>
      </c>
      <c r="BF23" s="117">
        <v>0</v>
      </c>
      <c r="BG23" s="117">
        <v>0</v>
      </c>
      <c r="BH23" s="117">
        <v>0</v>
      </c>
      <c r="BI23" s="117">
        <v>0</v>
      </c>
      <c r="BJ23" s="115">
        <f>$BJ$11</f>
        <v>2</v>
      </c>
      <c r="BK23" s="117">
        <v>0</v>
      </c>
      <c r="BL23" s="157">
        <f>$BL$11</f>
        <v>0</v>
      </c>
      <c r="BM23" s="157">
        <f>$BM$11</f>
        <v>2</v>
      </c>
      <c r="BN23" s="115"/>
      <c r="BO23" s="115"/>
      <c r="BP23" s="160"/>
      <c r="BQ23" s="160"/>
      <c r="BR23" s="160"/>
      <c r="BS23" s="118"/>
      <c r="BT23" s="118"/>
      <c r="BV23" s="1" t="s">
        <v>86</v>
      </c>
      <c r="CE23" s="1" t="s">
        <v>377</v>
      </c>
    </row>
    <row r="24" spans="2:83" ht="25.05" customHeight="1" x14ac:dyDescent="0.3">
      <c r="B24" s="64" t="s">
        <v>102</v>
      </c>
      <c r="C24" s="13" t="s">
        <v>11</v>
      </c>
      <c r="D24" s="85">
        <v>0</v>
      </c>
      <c r="E24" s="15">
        <v>0</v>
      </c>
      <c r="F24" s="65">
        <f>IF(C24=$BV$29,$K$5-39,IF(C24=$BV$28,$K$5-38,$K$5-36))</f>
        <v>722</v>
      </c>
      <c r="G24" s="66">
        <f>IF(E24&lt;&gt;0,$E$9,0)</f>
        <v>0</v>
      </c>
      <c r="H24" s="67">
        <f t="shared" si="16"/>
        <v>0</v>
      </c>
      <c r="J24" s="417" t="s">
        <v>69</v>
      </c>
      <c r="K24" s="418"/>
      <c r="L24" s="418"/>
      <c r="M24" s="418"/>
      <c r="N24" s="114" t="s">
        <v>200</v>
      </c>
      <c r="O24" s="364">
        <f>IF(OR(E8=BV6,E8=BV9,E8=BV10),O26,
IF(AND(O26&lt;&gt;0,E10=BV23,OR(E8=BV7,E8=BV8,E8=BV11)),4,
IF(AND(O26&lt;&gt;0,E10=BV24,OR(E8=BV7,E8=BV8,E8=BV11)),O26,0)))</f>
        <v>0</v>
      </c>
      <c r="P24" s="210"/>
      <c r="Q24" s="210"/>
      <c r="R24" s="223">
        <f>O24*Цены!J158</f>
        <v>0</v>
      </c>
      <c r="S24" s="205"/>
      <c r="T24" s="26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17"/>
      <c r="AH24" s="89"/>
      <c r="AI24" s="332"/>
      <c r="AJ24" s="332"/>
      <c r="AK24" s="332"/>
      <c r="AL24" s="332"/>
      <c r="AM24" s="332"/>
      <c r="AN24" s="332"/>
      <c r="AO24" s="332"/>
      <c r="AP24" s="332"/>
      <c r="AQ24" s="332"/>
      <c r="AR24" s="332"/>
      <c r="AS24" s="332"/>
      <c r="AT24" s="332"/>
      <c r="AU24" s="332"/>
      <c r="AV24" s="332"/>
      <c r="AW24" s="332"/>
      <c r="AX24" s="47"/>
      <c r="AY24" s="47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57"/>
      <c r="BM24" s="157"/>
      <c r="BN24" s="115"/>
      <c r="BO24" s="115"/>
      <c r="BP24" s="160"/>
      <c r="BQ24" s="160"/>
      <c r="BR24" s="160"/>
      <c r="BS24" s="118"/>
      <c r="BT24" s="118"/>
      <c r="BV24" s="1" t="s">
        <v>87</v>
      </c>
      <c r="CE24" s="1" t="s">
        <v>378</v>
      </c>
    </row>
    <row r="25" spans="2:83" ht="25.05" customHeight="1" x14ac:dyDescent="0.3">
      <c r="B25" s="64" t="s">
        <v>103</v>
      </c>
      <c r="C25" s="13" t="s">
        <v>11</v>
      </c>
      <c r="D25" s="85">
        <v>0</v>
      </c>
      <c r="E25" s="15">
        <v>0</v>
      </c>
      <c r="F25" s="65">
        <f>IF(C25=$BV$29,$K$5-39,IF(C25=$BV$28,$K$5-38,$K$5-36))</f>
        <v>722</v>
      </c>
      <c r="G25" s="66">
        <f>IF(E25&lt;&gt;0,$E$9,0)</f>
        <v>0</v>
      </c>
      <c r="H25" s="67">
        <f t="shared" si="16"/>
        <v>0</v>
      </c>
      <c r="J25" s="375" t="s">
        <v>17</v>
      </c>
      <c r="K25" s="376"/>
      <c r="L25" s="376"/>
      <c r="M25" s="376"/>
      <c r="N25" s="170" t="s">
        <v>196</v>
      </c>
      <c r="O25" s="195">
        <f>IF(OR(E10=BV23,AND(E8=BV7,E10=BV23),AND(E8=BV8,E10=BV23),AND(E8=BV11,E10=BV23)),1,0)</f>
        <v>0</v>
      </c>
      <c r="P25" s="211"/>
      <c r="Q25" s="211"/>
      <c r="R25" s="223">
        <f>O25*Цены!J128</f>
        <v>0</v>
      </c>
      <c r="S25" s="205"/>
      <c r="T25" s="260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336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47"/>
      <c r="AY25" s="47"/>
      <c r="AZ25" s="117">
        <v>0</v>
      </c>
      <c r="BA25" s="115">
        <f>IF(AND(BL25&gt;0,BL25&lt;=1250),1,0)</f>
        <v>0</v>
      </c>
      <c r="BB25" s="117">
        <v>0</v>
      </c>
      <c r="BC25" s="117">
        <v>0</v>
      </c>
      <c r="BD25" s="115">
        <f>IF(AND(BL25&gt;1250,BL25&lt;=2500),1,0)</f>
        <v>1</v>
      </c>
      <c r="BE25" s="117">
        <v>0</v>
      </c>
      <c r="BF25" s="117">
        <v>0</v>
      </c>
      <c r="BG25" s="117">
        <v>0</v>
      </c>
      <c r="BH25" s="115">
        <f>IF(AND(BL25&gt;2500,BL25&lt;=3750),1,0)</f>
        <v>0</v>
      </c>
      <c r="BI25" s="117">
        <v>0</v>
      </c>
      <c r="BJ25" s="115">
        <f>IF(AND(BL25&gt;3750,BL25&lt;=4950),BM25+1,BM25)</f>
        <v>1</v>
      </c>
      <c r="BK25" s="117">
        <v>0</v>
      </c>
      <c r="BL25" s="157">
        <f t="shared" ref="BL25:BM25" si="17">BL13</f>
        <v>1418</v>
      </c>
      <c r="BM25" s="157">
        <f t="shared" si="17"/>
        <v>1</v>
      </c>
      <c r="BN25" s="115"/>
      <c r="BO25" s="115"/>
      <c r="BP25" s="160"/>
      <c r="BQ25" s="160"/>
      <c r="BR25" s="161"/>
      <c r="BS25" s="126"/>
      <c r="BT25" s="126"/>
      <c r="CE25" s="1" t="s">
        <v>379</v>
      </c>
    </row>
    <row r="26" spans="2:83" ht="25.05" customHeight="1" thickBot="1" x14ac:dyDescent="0.35">
      <c r="B26" s="71" t="s">
        <v>104</v>
      </c>
      <c r="C26" s="13" t="s">
        <v>11</v>
      </c>
      <c r="D26" s="85">
        <v>0</v>
      </c>
      <c r="E26" s="15">
        <v>0</v>
      </c>
      <c r="F26" s="65">
        <f>IF(C26=$BV$29,$K$5-39,IF(C26=$BV$28,$K$5-38,$K$5-36))</f>
        <v>722</v>
      </c>
      <c r="G26" s="66">
        <f>IF(E26&lt;&gt;0,$E$9,0)</f>
        <v>0</v>
      </c>
      <c r="H26" s="67">
        <f t="shared" si="16"/>
        <v>0</v>
      </c>
      <c r="J26" s="417" t="s">
        <v>37</v>
      </c>
      <c r="K26" s="418"/>
      <c r="L26" s="418"/>
      <c r="M26" s="418"/>
      <c r="N26" s="171" t="s">
        <v>197</v>
      </c>
      <c r="O26" s="195">
        <f>IF(OR(K5&lt;650,E12="нет"),0,
IF(AND(E8=BV6,K5&gt;=900),2,
IF(AND(E8=BV6,K5&gt;=650,K5&lt;900),1,
IF(AND(E10=BV24,OR(E8=BV7,E8=BV8,E8=BV11),K5&gt;=900),4,
IF(AND(E10=BV24,OR(E8=BV7,E8=BV8,E8=BV11),K5&lt;900),2,
IF(AND(E10=BV23,OR(E8=BV7,E8=BV8,E8=BV11)),2,
IF(AND(E8=BV9,K5&gt;=900),4,
IF(AND(E8=BV9,K5&gt;=650,K5&lt;900),2,
IF(AND(E8=BV10,K5&gt;=900),6,
IF(AND(E8=BV10,K5&gt;=650,K5&lt;900),3,0))))))))))</f>
        <v>0</v>
      </c>
      <c r="P26" s="211"/>
      <c r="Q26" s="211"/>
      <c r="R26" s="223">
        <f>O26*Цены!J103</f>
        <v>0</v>
      </c>
      <c r="S26" s="205"/>
      <c r="T26" s="260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336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47"/>
      <c r="AY26" s="47"/>
      <c r="AZ26" s="117">
        <v>0</v>
      </c>
      <c r="BA26" s="162">
        <f>IF(AND(J14=CD7,BL26&gt;0,BL26&lt;=1250),1,0)</f>
        <v>0</v>
      </c>
      <c r="BB26" s="163">
        <f>IF(AND(J14=CD6,BO26&gt;0,BO26&lt;=1800),1,0)</f>
        <v>0</v>
      </c>
      <c r="BC26" s="117">
        <v>0</v>
      </c>
      <c r="BD26" s="162">
        <f>IF(AND(J14=CD7,BL26&gt;1250,BL26&lt;=2500),1,0)</f>
        <v>0</v>
      </c>
      <c r="BE26" s="163">
        <f>IF(AND(J14=CD6,BO26&gt;1800,BO26&lt;=2700),1,0)</f>
        <v>0</v>
      </c>
      <c r="BF26" s="117">
        <v>0</v>
      </c>
      <c r="BG26" s="163">
        <f>IF(AND(J14=CD6,BO26&gt;2700,BO26&lt;=3600),1,0)</f>
        <v>0</v>
      </c>
      <c r="BH26" s="162">
        <f>IF(AND(J14=CD7,BL26&gt;2500,BL26&lt;=3750),1,0)</f>
        <v>0</v>
      </c>
      <c r="BI26" s="117">
        <v>0</v>
      </c>
      <c r="BJ26" s="162">
        <f>IF(AND(J14=CD7,BL26&gt;3750,BL26&lt;=4950),BM26+1,BM26)</f>
        <v>0</v>
      </c>
      <c r="BK26" s="163">
        <f>IF(AND(J14=CD6,BO26&gt;3600,BO26&lt;=5350),BP26+1,BP26)</f>
        <v>0</v>
      </c>
      <c r="BL26" s="157">
        <f>BL14</f>
        <v>0</v>
      </c>
      <c r="BM26" s="157">
        <f>BM14</f>
        <v>0</v>
      </c>
      <c r="BN26" s="115"/>
      <c r="BO26" s="115">
        <f>BO14</f>
        <v>0</v>
      </c>
      <c r="BP26" s="160">
        <f>BP14</f>
        <v>0</v>
      </c>
      <c r="BQ26" s="160"/>
      <c r="BR26" s="160"/>
      <c r="BS26" s="118"/>
      <c r="BT26" s="118"/>
      <c r="CB26" s="256">
        <f>IF(E22&lt;&gt;0,1,0)</f>
        <v>1</v>
      </c>
      <c r="CE26" s="1" t="s">
        <v>376</v>
      </c>
    </row>
    <row r="27" spans="2:83" ht="25.05" customHeight="1" thickBot="1" x14ac:dyDescent="0.35">
      <c r="B27" s="58"/>
      <c r="C27" s="59"/>
      <c r="D27" s="59"/>
      <c r="E27" s="365" t="s">
        <v>74</v>
      </c>
      <c r="F27" s="366"/>
      <c r="G27" s="367"/>
      <c r="H27" s="269">
        <f>SUM(H22:H26)</f>
        <v>0</v>
      </c>
      <c r="J27" s="375" t="s">
        <v>58</v>
      </c>
      <c r="K27" s="376"/>
      <c r="L27" s="376"/>
      <c r="M27" s="376"/>
      <c r="N27" s="170" t="s">
        <v>195</v>
      </c>
      <c r="O27" s="196">
        <f>IF(OR(E8=BV6,E8=BV7),ROUNDUP(L10/500+1,0),0)</f>
        <v>0</v>
      </c>
      <c r="P27" s="212"/>
      <c r="Q27" s="212"/>
      <c r="R27" s="223">
        <f>O27*Цены!J148</f>
        <v>0</v>
      </c>
      <c r="S27" s="205"/>
      <c r="T27" s="205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217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V27" s="57" t="s">
        <v>9</v>
      </c>
      <c r="CB27" s="256">
        <f>IF(E23&lt;&gt;0,1,0)</f>
        <v>0</v>
      </c>
      <c r="CE27" s="1" t="s">
        <v>445</v>
      </c>
    </row>
    <row r="28" spans="2:83" ht="25.05" customHeight="1" x14ac:dyDescent="0.3">
      <c r="B28" s="58"/>
      <c r="C28" s="72" t="str">
        <f>IF((SUM(CB26:CB30)/C18)&lt;&gt;1,BV43,BV44)</f>
        <v>Верно внесены высоты вставок</v>
      </c>
      <c r="D28" s="355">
        <f>IF(C28=BV44,1,0)</f>
        <v>1</v>
      </c>
      <c r="E28" s="355"/>
      <c r="F28" s="355"/>
      <c r="G28" s="355"/>
      <c r="H28" s="60"/>
      <c r="J28" s="375" t="s">
        <v>190</v>
      </c>
      <c r="K28" s="376"/>
      <c r="L28" s="376"/>
      <c r="M28" s="376"/>
      <c r="N28" s="170" t="s">
        <v>189</v>
      </c>
      <c r="O28" s="195">
        <f>IF(OR(E8=BV6,E8=BV7,E8=BV8),2,0)</f>
        <v>0</v>
      </c>
      <c r="P28" s="211"/>
      <c r="Q28" s="211"/>
      <c r="R28" s="223">
        <f>O28*Цены!J107</f>
        <v>0</v>
      </c>
      <c r="S28" s="205"/>
      <c r="BV28" s="57" t="s">
        <v>10</v>
      </c>
      <c r="CB28" s="256">
        <f>IF(E24&lt;&gt;0,1,0)</f>
        <v>0</v>
      </c>
      <c r="CE28" s="1" t="s">
        <v>443</v>
      </c>
    </row>
    <row r="29" spans="2:83" ht="25.05" customHeight="1" x14ac:dyDescent="0.3">
      <c r="B29" s="58"/>
      <c r="C29" s="59"/>
      <c r="D29" s="59"/>
      <c r="E29" s="59"/>
      <c r="F29" s="59"/>
      <c r="G29" s="59"/>
      <c r="H29" s="60"/>
      <c r="J29" s="415" t="s">
        <v>198</v>
      </c>
      <c r="K29" s="416"/>
      <c r="L29" s="416"/>
      <c r="M29" s="416"/>
      <c r="N29" s="170" t="s">
        <v>174</v>
      </c>
      <c r="O29" s="195">
        <f>M13*2+M14*2</f>
        <v>16</v>
      </c>
      <c r="P29" s="211"/>
      <c r="Q29" s="211"/>
      <c r="R29" s="223">
        <f>O29*Цены!J184</f>
        <v>166.4</v>
      </c>
      <c r="S29" s="205"/>
      <c r="T29" s="20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V29" s="57" t="s">
        <v>11</v>
      </c>
      <c r="CB29" s="256">
        <f>IF(E25&lt;&gt;0,1,0)</f>
        <v>0</v>
      </c>
    </row>
    <row r="30" spans="2:83" ht="25.05" customHeight="1" x14ac:dyDescent="0.3">
      <c r="B30" s="58"/>
      <c r="C30" s="74"/>
      <c r="D30" s="74"/>
      <c r="E30" s="75"/>
      <c r="F30" s="75"/>
      <c r="G30" s="75"/>
      <c r="H30" s="60"/>
      <c r="J30" s="415" t="s">
        <v>77</v>
      </c>
      <c r="K30" s="416"/>
      <c r="L30" s="416"/>
      <c r="M30" s="416"/>
      <c r="N30" s="170" t="s">
        <v>220</v>
      </c>
      <c r="O30" s="197">
        <f>ROUNDUP((IF(C22=BV28,(E22+F22)*2*G22,0)+IF(C23=BV28,(E23+F23)*2*G23,0)+IF(C24=BV28,(E24+F24)*2*G24,0)+IF(C25=BV28,(E25+F25)*2*G25,0)+IF(C26=BV28,(E26+F26)*2*G26,0))/1000,0)</f>
        <v>0</v>
      </c>
      <c r="P30" s="213"/>
      <c r="Q30" s="213"/>
      <c r="R30" s="223">
        <f>O30*Цены!J177</f>
        <v>0</v>
      </c>
      <c r="S30" s="205"/>
      <c r="T30" s="205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3"/>
      <c r="AY30" s="3"/>
      <c r="AZ30" s="3"/>
      <c r="BA30" s="3"/>
      <c r="BB30" s="3"/>
      <c r="BC30" s="3"/>
      <c r="BD30" s="3"/>
      <c r="BE30" s="204" t="s">
        <v>442</v>
      </c>
      <c r="BF30" s="3"/>
      <c r="BG30" s="3"/>
      <c r="BH30" s="3"/>
      <c r="BI30" s="3"/>
      <c r="BJ30" s="3"/>
      <c r="BK30" s="3"/>
      <c r="BL30" s="3"/>
      <c r="CB30" s="256">
        <f>IF(E26&lt;&gt;0,1,0)</f>
        <v>0</v>
      </c>
    </row>
    <row r="31" spans="2:83" ht="25.05" customHeight="1" x14ac:dyDescent="0.3">
      <c r="B31" s="58"/>
      <c r="C31" s="59"/>
      <c r="D31" s="59"/>
      <c r="E31" s="59"/>
      <c r="F31" s="59"/>
      <c r="G31" s="59"/>
      <c r="H31" s="60"/>
      <c r="J31" s="415" t="s">
        <v>79</v>
      </c>
      <c r="K31" s="416"/>
      <c r="L31" s="416"/>
      <c r="M31" s="416"/>
      <c r="N31" s="170" t="s">
        <v>175</v>
      </c>
      <c r="O31" s="197">
        <f>ROUNDUP((IF(C22=BV29,(E22+F22)*2*G22,0)+IF(C23=BV29,(E23+F23)*2*G23,0)+IF(C24=BV29,(E24+F24)*2*G24,0)+IF(C25=BV29,(E25+F25)*2*G25,0)+IF(C26=BV29,(E26+F26)*2*G26,0))/1000,0)</f>
        <v>26</v>
      </c>
      <c r="P31" s="213"/>
      <c r="Q31" s="213"/>
      <c r="R31" s="223">
        <f>O31*Цены!J178</f>
        <v>1152.58</v>
      </c>
      <c r="S31" s="205"/>
      <c r="T31" s="205"/>
      <c r="V31" s="268"/>
      <c r="W31" s="268"/>
      <c r="X31" s="268"/>
      <c r="Y31" s="268"/>
      <c r="Z31" s="268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118"/>
      <c r="AY31" s="48" t="s">
        <v>229</v>
      </c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</row>
    <row r="32" spans="2:83" ht="25.05" customHeight="1" x14ac:dyDescent="0.3">
      <c r="B32" s="58"/>
      <c r="C32" s="75" t="str">
        <f>IF(AND(SUM(CB26:CB30)/C18=1,E26=0,C18&lt;&gt;1),BV47,BV48)</f>
        <v xml:space="preserve"> </v>
      </c>
      <c r="D32" s="75"/>
      <c r="E32" s="75"/>
      <c r="F32" s="75"/>
      <c r="G32" s="75"/>
      <c r="H32" s="60"/>
      <c r="J32" s="415" t="s">
        <v>75</v>
      </c>
      <c r="K32" s="416"/>
      <c r="L32" s="416"/>
      <c r="M32" s="416"/>
      <c r="N32" s="170" t="s">
        <v>176</v>
      </c>
      <c r="O32" s="195">
        <f>IF(E11=BV36,O29,0)</f>
        <v>0</v>
      </c>
      <c r="P32" s="211"/>
      <c r="Q32" s="211"/>
      <c r="R32" s="223">
        <f>O32*Цены!J171</f>
        <v>0</v>
      </c>
      <c r="S32" s="205"/>
      <c r="T32" s="205"/>
      <c r="U32" s="69"/>
      <c r="V32" s="69"/>
      <c r="W32" s="6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3"/>
      <c r="AY32" s="120">
        <f>IF(C22=$BV$27,(F22*E22/1000000)*8,IF(C22=$BV$28,(F22*E22/1000000)*6.5,(F22*E22/1000000)*11))</f>
        <v>19.799406000000001</v>
      </c>
      <c r="AZ32" s="86">
        <v>1000</v>
      </c>
      <c r="BA32" s="86">
        <v>1250</v>
      </c>
      <c r="BB32" s="86">
        <v>1800</v>
      </c>
      <c r="BC32" s="86">
        <v>2000</v>
      </c>
      <c r="BD32" s="86">
        <v>2500</v>
      </c>
      <c r="BE32" s="86">
        <v>2700</v>
      </c>
      <c r="BF32" s="86">
        <v>3000</v>
      </c>
      <c r="BG32" s="86">
        <v>3600</v>
      </c>
      <c r="BH32" s="86">
        <v>3750</v>
      </c>
      <c r="BI32" s="86">
        <v>4000</v>
      </c>
      <c r="BJ32" s="86">
        <v>5000</v>
      </c>
      <c r="BK32" s="116">
        <v>5400</v>
      </c>
      <c r="BL32" s="159"/>
      <c r="BM32" s="158"/>
      <c r="BN32" s="158"/>
      <c r="BO32" s="158"/>
      <c r="BP32" s="158"/>
      <c r="BQ32" s="158"/>
      <c r="BR32" s="158"/>
    </row>
    <row r="33" spans="1:74" ht="25.05" customHeight="1" x14ac:dyDescent="0.3">
      <c r="B33" s="58"/>
      <c r="C33" s="59"/>
      <c r="D33" s="59"/>
      <c r="E33" s="59"/>
      <c r="F33" s="59"/>
      <c r="G33" s="59"/>
      <c r="H33" s="60"/>
      <c r="J33" s="415" t="s">
        <v>150</v>
      </c>
      <c r="K33" s="416"/>
      <c r="L33" s="416"/>
      <c r="M33" s="416"/>
      <c r="N33" s="172" t="s">
        <v>177</v>
      </c>
      <c r="O33" s="280">
        <f>IF(E11=BV37,O29,0)</f>
        <v>0</v>
      </c>
      <c r="P33" s="210"/>
      <c r="Q33" s="210"/>
      <c r="R33" s="223">
        <f>O33*Цены!J132</f>
        <v>0</v>
      </c>
      <c r="S33" s="205"/>
      <c r="T33" s="205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3"/>
      <c r="AY33" s="120">
        <f>IF(C23=$BV$27,(F23*E23/1000000)*8,IF(C23=$BV$28,(F23*E23/1000000)*6.5,(F23*E23/1000000)*11))</f>
        <v>0</v>
      </c>
      <c r="AZ33" s="115">
        <v>0</v>
      </c>
      <c r="BA33" s="115">
        <v>0</v>
      </c>
      <c r="BB33" s="115">
        <v>0</v>
      </c>
      <c r="BC33" s="115">
        <v>0</v>
      </c>
      <c r="BD33" s="115">
        <v>0</v>
      </c>
      <c r="BE33" s="115">
        <v>0</v>
      </c>
      <c r="BF33" s="115">
        <v>0</v>
      </c>
      <c r="BG33" s="115">
        <v>0</v>
      </c>
      <c r="BH33" s="115">
        <v>0</v>
      </c>
      <c r="BI33" s="115">
        <v>0</v>
      </c>
      <c r="BJ33" s="115">
        <v>0</v>
      </c>
      <c r="BK33" s="264">
        <f>BK9</f>
        <v>4</v>
      </c>
      <c r="BL33" s="115"/>
      <c r="BM33" s="160"/>
      <c r="BN33" s="160"/>
      <c r="BO33" s="160"/>
      <c r="BP33" s="160"/>
      <c r="BQ33" s="160"/>
      <c r="BR33" s="160"/>
      <c r="BV33" s="70" t="s">
        <v>105</v>
      </c>
    </row>
    <row r="34" spans="1:74" ht="25.05" customHeight="1" x14ac:dyDescent="0.3">
      <c r="B34" s="58"/>
      <c r="C34" s="59"/>
      <c r="D34" s="59"/>
      <c r="E34" s="59"/>
      <c r="F34" s="59"/>
      <c r="G34" s="59"/>
      <c r="H34" s="60"/>
      <c r="J34" s="413" t="s">
        <v>71</v>
      </c>
      <c r="K34" s="414"/>
      <c r="L34" s="414"/>
      <c r="M34" s="414"/>
      <c r="N34" s="170" t="s">
        <v>178</v>
      </c>
      <c r="O34" s="198">
        <f>IF(E11=BV39,ROUNDUP(L9*M9/1000,0),0)</f>
        <v>0</v>
      </c>
      <c r="P34" s="214"/>
      <c r="Q34" s="214"/>
      <c r="R34" s="223">
        <f>O34*Цены!J161</f>
        <v>0</v>
      </c>
      <c r="S34" s="205"/>
      <c r="T34" s="205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3"/>
      <c r="AY34" s="120">
        <f>IF(C24=$BV$27,(F24*E24/1000000)*8,IF(C24=$BV$28,(F24*E24/1000000)*6.5,(F24*E24/1000000)*11))</f>
        <v>0</v>
      </c>
      <c r="AZ34" s="117">
        <v>0</v>
      </c>
      <c r="BA34" s="117">
        <v>0</v>
      </c>
      <c r="BB34" s="117">
        <v>0</v>
      </c>
      <c r="BC34" s="117">
        <v>0</v>
      </c>
      <c r="BD34" s="115">
        <f>$BD$10</f>
        <v>0</v>
      </c>
      <c r="BE34" s="117">
        <v>0</v>
      </c>
      <c r="BF34" s="117">
        <v>0</v>
      </c>
      <c r="BG34" s="117">
        <v>0</v>
      </c>
      <c r="BH34" s="117">
        <v>0</v>
      </c>
      <c r="BI34" s="117">
        <v>0</v>
      </c>
      <c r="BJ34" s="115">
        <f>$BJ$10</f>
        <v>2</v>
      </c>
      <c r="BK34" s="117">
        <v>0</v>
      </c>
      <c r="BL34" s="157">
        <f>$BL$10</f>
        <v>0</v>
      </c>
      <c r="BM34" s="157">
        <f>$BM$10</f>
        <v>2</v>
      </c>
      <c r="BN34" s="115"/>
      <c r="BO34" s="115"/>
      <c r="BP34" s="115"/>
      <c r="BQ34" s="115"/>
      <c r="BR34" s="115"/>
      <c r="BV34" s="70" t="s">
        <v>82</v>
      </c>
    </row>
    <row r="35" spans="1:74" ht="25.05" customHeight="1" x14ac:dyDescent="0.35">
      <c r="B35" s="76"/>
      <c r="C35" s="77"/>
      <c r="D35" s="355"/>
      <c r="E35" s="355"/>
      <c r="F35" s="355"/>
      <c r="G35" s="6"/>
      <c r="H35" s="11"/>
      <c r="J35" s="413" t="s">
        <v>116</v>
      </c>
      <c r="K35" s="414"/>
      <c r="L35" s="414"/>
      <c r="M35" s="414"/>
      <c r="N35" s="170" t="s">
        <v>179</v>
      </c>
      <c r="O35" s="198">
        <f>IF(E11=BV38,ROUNDUP(L9*M9/1000,0),0)</f>
        <v>21</v>
      </c>
      <c r="P35" s="214"/>
      <c r="Q35" s="214"/>
      <c r="R35" s="223">
        <f>O35*Цены!J180</f>
        <v>552.72</v>
      </c>
      <c r="S35" s="205"/>
      <c r="T35" s="205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3"/>
      <c r="AY35" s="120">
        <f>IF(C25=$BV$27,(F25*E25/1000000)*8,IF(C25=$BV$28,(F25*E25/1000000)*6.5,(F25*E25/1000000)*11))</f>
        <v>0</v>
      </c>
      <c r="AZ35" s="117">
        <v>0</v>
      </c>
      <c r="BA35" s="117">
        <v>0</v>
      </c>
      <c r="BB35" s="117">
        <v>0</v>
      </c>
      <c r="BC35" s="117">
        <v>0</v>
      </c>
      <c r="BD35" s="115">
        <f>$BD$11</f>
        <v>0</v>
      </c>
      <c r="BE35" s="117">
        <v>0</v>
      </c>
      <c r="BF35" s="117">
        <v>0</v>
      </c>
      <c r="BG35" s="117">
        <v>0</v>
      </c>
      <c r="BH35" s="117">
        <v>0</v>
      </c>
      <c r="BI35" s="117">
        <v>0</v>
      </c>
      <c r="BJ35" s="115">
        <f>$BJ$11</f>
        <v>2</v>
      </c>
      <c r="BK35" s="117">
        <v>0</v>
      </c>
      <c r="BL35" s="157">
        <f>$BL$11</f>
        <v>0</v>
      </c>
      <c r="BM35" s="157">
        <f>$BM$11</f>
        <v>2</v>
      </c>
      <c r="BN35" s="115"/>
      <c r="BO35" s="115"/>
      <c r="BP35" s="160"/>
      <c r="BQ35" s="160"/>
      <c r="BR35" s="160"/>
    </row>
    <row r="36" spans="1:74" ht="25.05" customHeight="1" thickBot="1" x14ac:dyDescent="0.35">
      <c r="B36" s="10"/>
      <c r="C36" s="6"/>
      <c r="D36" s="6"/>
      <c r="E36" s="6"/>
      <c r="F36" s="6"/>
      <c r="G36" s="6"/>
      <c r="H36" s="11"/>
      <c r="J36" s="413" t="s">
        <v>147</v>
      </c>
      <c r="K36" s="414"/>
      <c r="L36" s="414"/>
      <c r="M36" s="414"/>
      <c r="N36" s="248" t="s">
        <v>180</v>
      </c>
      <c r="O36" s="196">
        <f>IF(O35&gt;0,M9*2,0)</f>
        <v>16</v>
      </c>
      <c r="P36" s="212"/>
      <c r="Q36" s="212"/>
      <c r="R36" s="223">
        <f>O36*Цены!J176</f>
        <v>287.36</v>
      </c>
      <c r="S36" s="205"/>
      <c r="T36" s="205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3"/>
      <c r="AY36" s="120">
        <f>IF(C26=$BV$27,(F26*E26/1000000)*8,IF(C26=$BV$28,(F26*E26/1000000)*6.5,(F26*E26/1000000)*11))</f>
        <v>0</v>
      </c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57"/>
      <c r="BM36" s="157"/>
      <c r="BN36" s="115"/>
      <c r="BO36" s="115"/>
      <c r="BP36" s="160"/>
      <c r="BQ36" s="160"/>
      <c r="BR36" s="160"/>
      <c r="BV36" s="1" t="s">
        <v>75</v>
      </c>
    </row>
    <row r="37" spans="1:74" ht="25.05" customHeight="1" thickBot="1" x14ac:dyDescent="0.35">
      <c r="B37" s="10"/>
      <c r="C37" s="6"/>
      <c r="D37" s="6"/>
      <c r="E37" s="6"/>
      <c r="F37" s="6"/>
      <c r="G37" s="348" t="s">
        <v>227</v>
      </c>
      <c r="H37" s="122">
        <f>ROUNDUP((AY18+AY37)*1.1,0)</f>
        <v>27</v>
      </c>
      <c r="J37" s="413" t="s">
        <v>148</v>
      </c>
      <c r="K37" s="414"/>
      <c r="L37" s="414"/>
      <c r="M37" s="414"/>
      <c r="N37" s="170" t="s">
        <v>199</v>
      </c>
      <c r="O37" s="196">
        <f>E13</f>
        <v>0</v>
      </c>
      <c r="P37" s="212"/>
      <c r="Q37" s="212"/>
      <c r="R37" s="223">
        <f>O37*Цены!J146</f>
        <v>0</v>
      </c>
      <c r="S37" s="205"/>
      <c r="T37" s="205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3"/>
      <c r="AY37" s="121">
        <f>SUM(AY32:AY36)</f>
        <v>19.799406000000001</v>
      </c>
      <c r="AZ37" s="117">
        <v>0</v>
      </c>
      <c r="BA37" s="117">
        <v>0</v>
      </c>
      <c r="BB37" s="117">
        <v>0</v>
      </c>
      <c r="BC37" s="117">
        <v>0</v>
      </c>
      <c r="BD37" s="115">
        <f>IF(AND(BL37&gt;0,BL37&lt;=2500),1,0)</f>
        <v>1</v>
      </c>
      <c r="BE37" s="117">
        <v>0</v>
      </c>
      <c r="BF37" s="117">
        <v>0</v>
      </c>
      <c r="BG37" s="117">
        <v>0</v>
      </c>
      <c r="BH37" s="117">
        <v>0</v>
      </c>
      <c r="BI37" s="117">
        <v>0</v>
      </c>
      <c r="BJ37" s="115">
        <f>IF(AND(BL37&gt;2500,BL37&lt;=4950),BM37+1,BM37)</f>
        <v>1</v>
      </c>
      <c r="BK37" s="117">
        <v>0</v>
      </c>
      <c r="BL37" s="157">
        <f t="shared" ref="BL37:BM37" si="18">BL25</f>
        <v>1418</v>
      </c>
      <c r="BM37" s="157">
        <f t="shared" si="18"/>
        <v>1</v>
      </c>
      <c r="BN37" s="115"/>
      <c r="BO37" s="115"/>
      <c r="BP37" s="160"/>
      <c r="BQ37" s="160"/>
      <c r="BR37" s="161"/>
      <c r="BV37" s="73" t="s">
        <v>145</v>
      </c>
    </row>
    <row r="38" spans="1:74" ht="25.05" customHeight="1" thickBot="1" x14ac:dyDescent="0.35">
      <c r="B38" s="12"/>
      <c r="C38" s="125"/>
      <c r="D38" s="125"/>
      <c r="E38" s="125"/>
      <c r="F38" s="125"/>
      <c r="G38" s="125"/>
      <c r="H38" s="112"/>
      <c r="J38" s="370" t="s">
        <v>400</v>
      </c>
      <c r="K38" s="371"/>
      <c r="L38" s="371"/>
      <c r="M38" s="371"/>
      <c r="N38" s="341" t="s">
        <v>401</v>
      </c>
      <c r="O38" s="362">
        <f>E14</f>
        <v>0</v>
      </c>
      <c r="P38" s="212"/>
      <c r="Q38" s="212"/>
      <c r="R38" s="223">
        <f>O38*Цены!J185</f>
        <v>0</v>
      </c>
      <c r="S38" s="205"/>
      <c r="T38" s="205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3"/>
      <c r="AY38" s="120"/>
      <c r="AZ38" s="117">
        <v>0</v>
      </c>
      <c r="BA38" s="117">
        <v>0</v>
      </c>
      <c r="BB38" s="117">
        <v>0</v>
      </c>
      <c r="BC38" s="117">
        <v>0</v>
      </c>
      <c r="BD38" s="162">
        <f>IF(AND(J14=CD7,BL38&gt;0,BL38&lt;=2500),1,0)</f>
        <v>0</v>
      </c>
      <c r="BE38" s="163">
        <f>IF(AND(J14=CD6,BO38&gt;0,BO38&lt;=2700),1,0)</f>
        <v>0</v>
      </c>
      <c r="BF38" s="117">
        <v>0</v>
      </c>
      <c r="BG38" s="117">
        <v>0</v>
      </c>
      <c r="BH38" s="117">
        <v>0</v>
      </c>
      <c r="BI38" s="117">
        <v>0</v>
      </c>
      <c r="BJ38" s="162">
        <f>IF(AND(J14=CD7,BL38&gt;2500,BL38&lt;=4950),BM38+1,BM38)</f>
        <v>0</v>
      </c>
      <c r="BK38" s="163">
        <f>IF(AND(J14=CD6,BO38&gt;2700,BO38&lt;=5350),BP38+1,BP38)</f>
        <v>0</v>
      </c>
      <c r="BL38" s="157">
        <f>BL26</f>
        <v>0</v>
      </c>
      <c r="BM38" s="157">
        <f>BM26</f>
        <v>0</v>
      </c>
      <c r="BN38" s="115"/>
      <c r="BO38" s="115">
        <f>BO26</f>
        <v>0</v>
      </c>
      <c r="BP38" s="160">
        <f>BP26</f>
        <v>0</v>
      </c>
      <c r="BQ38" s="160"/>
      <c r="BR38" s="160"/>
      <c r="BV38" s="73" t="s">
        <v>116</v>
      </c>
    </row>
    <row r="39" spans="1:74" ht="25.05" customHeight="1" thickBot="1" x14ac:dyDescent="0.35">
      <c r="B39" s="6"/>
      <c r="C39" s="6"/>
      <c r="D39" s="6"/>
      <c r="E39" s="6"/>
      <c r="F39" s="6"/>
      <c r="G39" s="6"/>
      <c r="H39" s="6"/>
      <c r="R39" s="109">
        <f>SUM(R21:R38)</f>
        <v>18234.230000000003</v>
      </c>
      <c r="S39" s="205"/>
      <c r="T39" s="205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3"/>
      <c r="AY39" s="120"/>
      <c r="AZ39" s="3"/>
      <c r="BA39" s="3"/>
      <c r="BB39" s="3"/>
      <c r="BC39" s="3"/>
      <c r="BD39" s="3"/>
      <c r="BE39" s="3"/>
      <c r="BF39" s="3"/>
      <c r="BG39" s="3"/>
      <c r="BH39" s="3"/>
      <c r="BI39" s="5"/>
      <c r="BJ39" s="5"/>
      <c r="BK39" s="5"/>
      <c r="BL39" s="5"/>
      <c r="BV39" s="1" t="s">
        <v>71</v>
      </c>
    </row>
    <row r="40" spans="1:74" ht="25.05" customHeight="1" thickBot="1" x14ac:dyDescent="0.35">
      <c r="B40" s="6"/>
      <c r="C40" s="6"/>
      <c r="D40" s="6"/>
      <c r="E40" s="6"/>
      <c r="F40" s="6"/>
      <c r="G40" s="6"/>
      <c r="H40" s="6"/>
      <c r="S40" s="205"/>
      <c r="T40" s="205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5"/>
      <c r="BJ40" s="5"/>
      <c r="BK40" s="5"/>
      <c r="BL40" s="5"/>
      <c r="BV40" s="6"/>
    </row>
    <row r="41" spans="1:74" ht="25.05" customHeight="1" thickBot="1" x14ac:dyDescent="0.35">
      <c r="L41" s="427" t="s">
        <v>446</v>
      </c>
      <c r="M41" s="427"/>
      <c r="N41" s="427"/>
      <c r="O41" s="427"/>
      <c r="P41" s="5"/>
      <c r="Q41" s="5"/>
      <c r="R41" s="109">
        <f>R15+R39+H27</f>
        <v>55789.530000000006</v>
      </c>
      <c r="S41" s="205"/>
      <c r="T41" s="205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3"/>
      <c r="AY41" s="3"/>
      <c r="AZ41" s="3"/>
      <c r="BA41" s="3"/>
      <c r="BB41" s="3"/>
      <c r="BC41" s="3"/>
      <c r="BD41" s="3"/>
      <c r="BE41" s="204" t="s">
        <v>443</v>
      </c>
      <c r="BF41" s="3"/>
      <c r="BG41" s="3"/>
      <c r="BH41" s="3"/>
      <c r="BI41" s="3"/>
      <c r="BJ41" s="3"/>
      <c r="BK41" s="3"/>
      <c r="BL41" s="3"/>
    </row>
    <row r="42" spans="1:74" ht="25.05" customHeight="1" x14ac:dyDescent="0.3">
      <c r="S42" s="205"/>
      <c r="T42" s="205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5"/>
      <c r="AY42" s="5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</row>
    <row r="43" spans="1:74" ht="25.05" customHeight="1" x14ac:dyDescent="0.3">
      <c r="J43" s="360"/>
      <c r="K43" s="360"/>
      <c r="L43" s="360"/>
      <c r="M43" s="360"/>
      <c r="N43" s="281"/>
      <c r="O43" s="212"/>
      <c r="P43" s="212"/>
      <c r="Q43" s="212"/>
      <c r="R43" s="205"/>
      <c r="S43" s="205"/>
      <c r="T43" s="205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5"/>
      <c r="AY43" s="5"/>
      <c r="AZ43" s="86">
        <v>1000</v>
      </c>
      <c r="BA43" s="86">
        <v>1250</v>
      </c>
      <c r="BB43" s="86">
        <v>1800</v>
      </c>
      <c r="BC43" s="86">
        <v>2000</v>
      </c>
      <c r="BD43" s="86">
        <v>2500</v>
      </c>
      <c r="BE43" s="86">
        <v>2700</v>
      </c>
      <c r="BF43" s="86">
        <v>3000</v>
      </c>
      <c r="BG43" s="86">
        <v>3600</v>
      </c>
      <c r="BH43" s="86">
        <v>3750</v>
      </c>
      <c r="BI43" s="86">
        <v>4000</v>
      </c>
      <c r="BJ43" s="86">
        <v>5000</v>
      </c>
      <c r="BK43" s="116">
        <v>5400</v>
      </c>
      <c r="BL43" s="159"/>
      <c r="BM43" s="158"/>
      <c r="BN43" s="158"/>
      <c r="BO43" s="158"/>
      <c r="BP43" s="158"/>
      <c r="BQ43" s="158"/>
      <c r="BR43" s="158"/>
      <c r="BV43" s="70" t="s">
        <v>106</v>
      </c>
    </row>
    <row r="44" spans="1:74" ht="25.05" customHeight="1" x14ac:dyDescent="0.3">
      <c r="J44" s="360"/>
      <c r="K44" s="360"/>
      <c r="L44" s="360"/>
      <c r="M44" s="360"/>
      <c r="N44" s="281"/>
      <c r="O44" s="212"/>
      <c r="P44" s="211"/>
      <c r="Q44" s="211"/>
      <c r="R44" s="205"/>
      <c r="S44" s="218"/>
      <c r="T44" s="218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5"/>
      <c r="AY44" s="5"/>
      <c r="AZ44" s="115">
        <v>0</v>
      </c>
      <c r="BA44" s="115">
        <v>0</v>
      </c>
      <c r="BB44" s="115">
        <v>0</v>
      </c>
      <c r="BC44" s="115">
        <v>0</v>
      </c>
      <c r="BD44" s="115">
        <v>0</v>
      </c>
      <c r="BE44" s="115">
        <v>0</v>
      </c>
      <c r="BF44" s="115">
        <v>0</v>
      </c>
      <c r="BG44" s="115">
        <v>0</v>
      </c>
      <c r="BH44" s="115">
        <v>0</v>
      </c>
      <c r="BI44" s="115">
        <v>0</v>
      </c>
      <c r="BJ44" s="115">
        <v>0</v>
      </c>
      <c r="BK44" s="264">
        <f>BK9</f>
        <v>4</v>
      </c>
      <c r="BL44" s="115"/>
      <c r="BM44" s="160"/>
      <c r="BN44" s="160"/>
      <c r="BO44" s="160"/>
      <c r="BP44" s="160"/>
      <c r="BQ44" s="160"/>
      <c r="BR44" s="160"/>
      <c r="BV44" s="70" t="s">
        <v>107</v>
      </c>
    </row>
    <row r="45" spans="1:74" ht="25.05" customHeight="1" x14ac:dyDescent="0.35">
      <c r="J45" s="88"/>
      <c r="K45" s="88"/>
      <c r="L45" s="88"/>
      <c r="M45" s="88"/>
      <c r="N45" s="281"/>
      <c r="O45" s="211"/>
      <c r="P45" s="5"/>
      <c r="Q45" s="361" t="s">
        <v>382</v>
      </c>
      <c r="R45" s="6"/>
      <c r="S45" s="5"/>
      <c r="T45" s="5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5"/>
      <c r="AY45" s="5"/>
      <c r="AZ45" s="117">
        <v>0</v>
      </c>
      <c r="BA45" s="117">
        <v>0</v>
      </c>
      <c r="BB45" s="117">
        <v>0</v>
      </c>
      <c r="BC45" s="117">
        <v>0</v>
      </c>
      <c r="BD45" s="115">
        <f>$BD$10</f>
        <v>0</v>
      </c>
      <c r="BE45" s="117">
        <v>0</v>
      </c>
      <c r="BF45" s="117">
        <v>0</v>
      </c>
      <c r="BG45" s="117">
        <v>0</v>
      </c>
      <c r="BH45" s="117">
        <v>0</v>
      </c>
      <c r="BI45" s="117">
        <v>0</v>
      </c>
      <c r="BJ45" s="115">
        <f>$BJ$10</f>
        <v>2</v>
      </c>
      <c r="BK45" s="117">
        <v>0</v>
      </c>
      <c r="BL45" s="157">
        <f>$BL$10</f>
        <v>0</v>
      </c>
      <c r="BM45" s="157">
        <f>$BM$10</f>
        <v>2</v>
      </c>
      <c r="BN45" s="115"/>
      <c r="BO45" s="115"/>
      <c r="BP45" s="115"/>
      <c r="BQ45" s="115"/>
      <c r="BR45" s="115"/>
    </row>
    <row r="46" spans="1:74" ht="25.05" customHeight="1" x14ac:dyDescent="0.35">
      <c r="J46" s="6"/>
      <c r="K46" s="6"/>
      <c r="L46" s="6"/>
      <c r="M46" s="6"/>
      <c r="N46" s="6"/>
      <c r="O46" s="6"/>
      <c r="P46" s="215"/>
      <c r="Q46" s="361"/>
      <c r="R46" s="6"/>
      <c r="S46" s="218"/>
      <c r="T46" s="218"/>
      <c r="AX46" s="78"/>
      <c r="AY46" s="78"/>
      <c r="AZ46" s="117">
        <v>0</v>
      </c>
      <c r="BA46" s="117">
        <v>0</v>
      </c>
      <c r="BB46" s="117">
        <v>0</v>
      </c>
      <c r="BC46" s="117">
        <v>0</v>
      </c>
      <c r="BD46" s="115">
        <f>$BD$11</f>
        <v>0</v>
      </c>
      <c r="BE46" s="117">
        <v>0</v>
      </c>
      <c r="BF46" s="117">
        <v>0</v>
      </c>
      <c r="BG46" s="117">
        <v>0</v>
      </c>
      <c r="BH46" s="117">
        <v>0</v>
      </c>
      <c r="BI46" s="117">
        <v>0</v>
      </c>
      <c r="BJ46" s="115">
        <f>$BJ$11</f>
        <v>2</v>
      </c>
      <c r="BK46" s="117">
        <v>0</v>
      </c>
      <c r="BL46" s="157">
        <f>$BL$11</f>
        <v>0</v>
      </c>
      <c r="BM46" s="157">
        <f>$BM$11</f>
        <v>2</v>
      </c>
      <c r="BN46" s="115"/>
      <c r="BO46" s="115"/>
      <c r="BP46" s="160"/>
      <c r="BQ46" s="160"/>
      <c r="BR46" s="160"/>
    </row>
    <row r="47" spans="1:74" ht="25.05" customHeight="1" x14ac:dyDescent="0.35">
      <c r="A47" s="6"/>
      <c r="K47" s="321"/>
      <c r="S47" s="5"/>
      <c r="T47" s="5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79"/>
      <c r="AY47" s="79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57"/>
      <c r="BM47" s="157"/>
      <c r="BN47" s="115"/>
      <c r="BO47" s="115"/>
      <c r="BP47" s="160"/>
      <c r="BQ47" s="160"/>
      <c r="BR47" s="160"/>
      <c r="BV47" s="80" t="s">
        <v>113</v>
      </c>
    </row>
    <row r="48" spans="1:74" ht="30" customHeight="1" x14ac:dyDescent="0.3">
      <c r="A48" s="6"/>
      <c r="R48" s="5"/>
      <c r="S48" s="5"/>
      <c r="T48" s="5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1"/>
      <c r="AY48" s="1"/>
      <c r="AZ48" s="117">
        <v>0</v>
      </c>
      <c r="BA48" s="117">
        <v>0</v>
      </c>
      <c r="BB48" s="117">
        <v>0</v>
      </c>
      <c r="BC48" s="117">
        <v>0</v>
      </c>
      <c r="BD48" s="115">
        <f>IF(AND(BL48&gt;0,BL48&lt;=2500),1,0)</f>
        <v>1</v>
      </c>
      <c r="BE48" s="117">
        <v>0</v>
      </c>
      <c r="BF48" s="117">
        <v>0</v>
      </c>
      <c r="BG48" s="117">
        <v>0</v>
      </c>
      <c r="BH48" s="117">
        <v>0</v>
      </c>
      <c r="BI48" s="117">
        <v>0</v>
      </c>
      <c r="BJ48" s="115">
        <f>IF(AND(BL48&gt;2500,BL48&lt;=4950),BM48+1,BM48)</f>
        <v>1</v>
      </c>
      <c r="BK48" s="117">
        <v>0</v>
      </c>
      <c r="BL48" s="157">
        <f t="shared" ref="BL48:BM48" si="19">BL37</f>
        <v>1418</v>
      </c>
      <c r="BM48" s="157">
        <f t="shared" si="19"/>
        <v>1</v>
      </c>
      <c r="BN48" s="115"/>
      <c r="BO48" s="115"/>
      <c r="BP48" s="160"/>
      <c r="BQ48" s="160"/>
      <c r="BR48" s="161"/>
      <c r="BV48" s="1" t="s">
        <v>82</v>
      </c>
    </row>
    <row r="49" spans="1:79" ht="30" customHeight="1" x14ac:dyDescent="0.3">
      <c r="A49" s="6"/>
      <c r="R49" s="5"/>
      <c r="S49" s="5"/>
      <c r="T49" s="5"/>
      <c r="U49" s="78"/>
      <c r="V49" s="78"/>
      <c r="W49" s="78"/>
      <c r="X49" s="78"/>
      <c r="Y49" s="78"/>
      <c r="Z49" s="78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Z49" s="117">
        <v>0</v>
      </c>
      <c r="BA49" s="117">
        <v>0</v>
      </c>
      <c r="BB49" s="163">
        <f>IF(AND(J14=CD6,BO49&gt;0,BO49&lt;=1800),1,0)</f>
        <v>0</v>
      </c>
      <c r="BC49" s="117">
        <v>0</v>
      </c>
      <c r="BD49" s="162">
        <f>IF(AND(J14=CD7,BL49&gt;0,BL49&lt;=2500),1,0)</f>
        <v>0</v>
      </c>
      <c r="BE49" s="163">
        <f>IF(AND(J14=CD6,BO49&gt;1800,BO49&lt;=2700),1,0)</f>
        <v>0</v>
      </c>
      <c r="BF49" s="117">
        <v>0</v>
      </c>
      <c r="BG49" s="163">
        <f>IF(AND(J14=CD6,BO49&gt;2700,BO49&lt;=3600),1,0)</f>
        <v>0</v>
      </c>
      <c r="BH49" s="117">
        <v>0</v>
      </c>
      <c r="BI49" s="117">
        <v>0</v>
      </c>
      <c r="BJ49" s="162">
        <f>IF(AND(J14=CD7,BL49&gt;2500,BL49&lt;=4950),BM49+1,BM49)</f>
        <v>0</v>
      </c>
      <c r="BK49" s="163">
        <f>IF(AND(J14=CD6,BO49&gt;3600,BO49&lt;=5350),BP49+1,BP49)</f>
        <v>0</v>
      </c>
      <c r="BL49" s="157">
        <f t="shared" ref="BL49:BP49" si="20">BL38</f>
        <v>0</v>
      </c>
      <c r="BM49" s="157">
        <f t="shared" si="20"/>
        <v>0</v>
      </c>
      <c r="BN49" s="157"/>
      <c r="BO49" s="157">
        <f t="shared" si="20"/>
        <v>0</v>
      </c>
      <c r="BP49" s="157">
        <f t="shared" si="20"/>
        <v>0</v>
      </c>
      <c r="BQ49" s="160"/>
      <c r="BR49" s="160"/>
      <c r="BV49" s="6"/>
    </row>
    <row r="50" spans="1:79" ht="30" customHeight="1" x14ac:dyDescent="0.3">
      <c r="A50" s="6"/>
      <c r="R50" s="5"/>
      <c r="S50" s="5"/>
      <c r="T50" s="5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BV50" s="33" t="str">
        <f>Цены!G6</f>
        <v>Серебро матовое</v>
      </c>
    </row>
    <row r="51" spans="1:79" x14ac:dyDescent="0.3">
      <c r="A51" s="6"/>
      <c r="R51" s="5"/>
      <c r="S51" s="5"/>
      <c r="T51" s="5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BV51" s="33" t="str">
        <f>Цены!G7</f>
        <v>Черный матовый</v>
      </c>
    </row>
    <row r="52" spans="1:79" x14ac:dyDescent="0.3">
      <c r="A52" s="6"/>
      <c r="R52" s="5"/>
      <c r="S52" s="5"/>
      <c r="T52" s="5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</row>
    <row r="53" spans="1:79" x14ac:dyDescent="0.3">
      <c r="R53" s="5"/>
      <c r="S53" s="5"/>
      <c r="T53" s="5"/>
      <c r="U53" s="6"/>
      <c r="V53" s="6"/>
    </row>
    <row r="54" spans="1:79" x14ac:dyDescent="0.3">
      <c r="R54" s="6"/>
      <c r="S54" s="6"/>
      <c r="T54" s="6"/>
      <c r="U54" s="6"/>
      <c r="V54" s="6"/>
    </row>
    <row r="55" spans="1:79" x14ac:dyDescent="0.3">
      <c r="R55" s="6"/>
      <c r="S55" s="6"/>
      <c r="T55" s="6"/>
      <c r="U55" s="6"/>
      <c r="V55" s="6"/>
    </row>
    <row r="58" spans="1:79" x14ac:dyDescent="0.3">
      <c r="CA58" s="1" t="s">
        <v>402</v>
      </c>
    </row>
    <row r="59" spans="1:79" x14ac:dyDescent="0.3">
      <c r="CA59" s="1" t="s">
        <v>404</v>
      </c>
    </row>
    <row r="60" spans="1:79" x14ac:dyDescent="0.3">
      <c r="CA60" s="1" t="s">
        <v>403</v>
      </c>
    </row>
    <row r="61" spans="1:79" x14ac:dyDescent="0.3">
      <c r="CA61" s="1" t="s">
        <v>405</v>
      </c>
    </row>
    <row r="62" spans="1:79" x14ac:dyDescent="0.3">
      <c r="CA62" s="1" t="s">
        <v>406</v>
      </c>
    </row>
    <row r="63" spans="1:79" x14ac:dyDescent="0.3">
      <c r="BV63" s="33"/>
    </row>
    <row r="67" spans="74:76" x14ac:dyDescent="0.3">
      <c r="BV67" s="33">
        <f>Цены!G14</f>
        <v>0</v>
      </c>
    </row>
    <row r="68" spans="74:76" x14ac:dyDescent="0.3">
      <c r="BV68" s="1" t="s">
        <v>453</v>
      </c>
    </row>
    <row r="69" spans="74:76" x14ac:dyDescent="0.3">
      <c r="BV69" s="33">
        <f>Цены!G15</f>
        <v>0</v>
      </c>
    </row>
    <row r="70" spans="74:76" x14ac:dyDescent="0.3">
      <c r="BV70" s="33">
        <f>Цены!G16</f>
        <v>0</v>
      </c>
    </row>
    <row r="71" spans="74:76" x14ac:dyDescent="0.3">
      <c r="BV71" s="33">
        <f>Цены!G17</f>
        <v>0</v>
      </c>
    </row>
    <row r="72" spans="74:76" x14ac:dyDescent="0.3">
      <c r="BV72" s="33">
        <f>Цены!G18</f>
        <v>0</v>
      </c>
    </row>
    <row r="73" spans="74:76" ht="15.6" x14ac:dyDescent="0.3">
      <c r="BV73" s="33">
        <f>Цены!G8</f>
        <v>0</v>
      </c>
      <c r="BX73" s="43">
        <v>0</v>
      </c>
    </row>
    <row r="74" spans="74:76" ht="15.6" x14ac:dyDescent="0.3">
      <c r="BV74" s="33">
        <f>Цены!G9</f>
        <v>0</v>
      </c>
      <c r="BX74" s="43">
        <v>1</v>
      </c>
    </row>
    <row r="75" spans="74:76" ht="15.6" x14ac:dyDescent="0.3">
      <c r="BV75" s="33">
        <f>Цены!G10</f>
        <v>0</v>
      </c>
      <c r="BX75" s="43">
        <v>2</v>
      </c>
    </row>
    <row r="76" spans="74:76" ht="15.6" x14ac:dyDescent="0.3">
      <c r="BV76" s="33">
        <f>Цены!G11</f>
        <v>0</v>
      </c>
      <c r="BX76" s="43">
        <v>3</v>
      </c>
    </row>
    <row r="77" spans="74:76" ht="15.6" x14ac:dyDescent="0.3">
      <c r="BV77" s="33">
        <f>Цены!G12</f>
        <v>0</v>
      </c>
      <c r="BX77" s="43">
        <v>4</v>
      </c>
    </row>
    <row r="78" spans="74:76" ht="15.6" x14ac:dyDescent="0.3">
      <c r="BV78" s="33">
        <f>Цены!G13</f>
        <v>0</v>
      </c>
      <c r="BX78" s="43">
        <v>5</v>
      </c>
    </row>
    <row r="83" spans="74:74" x14ac:dyDescent="0.3">
      <c r="BV83" s="1" t="s">
        <v>159</v>
      </c>
    </row>
    <row r="84" spans="74:74" x14ac:dyDescent="0.3">
      <c r="BV84" s="1" t="s">
        <v>158</v>
      </c>
    </row>
  </sheetData>
  <sheetProtection algorithmName="SHA-512" hashValue="hB7PRR5Hl1Xyp9VBTOHvGaNdu6KdNwb3UWQ1UBhQBsIXr4zbyEguTlBmyrga+PXf296ldWTrZAnBfaPuAn4YvQ==" saltValue="Iq7tg+c9vR0KaMEF6ZOfIA==" spinCount="100000" sheet="1" selectLockedCells="1"/>
  <mergeCells count="75">
    <mergeCell ref="BO15:BP15"/>
    <mergeCell ref="BL15:BM15"/>
    <mergeCell ref="L41:O41"/>
    <mergeCell ref="J7:O7"/>
    <mergeCell ref="R11:R12"/>
    <mergeCell ref="V11:V12"/>
    <mergeCell ref="AC11:AC12"/>
    <mergeCell ref="AB17:AG17"/>
    <mergeCell ref="J24:M24"/>
    <mergeCell ref="J25:M25"/>
    <mergeCell ref="J36:M36"/>
    <mergeCell ref="J37:M37"/>
    <mergeCell ref="U15:AG15"/>
    <mergeCell ref="AA11:AA12"/>
    <mergeCell ref="AD11:AD12"/>
    <mergeCell ref="AE11:AE12"/>
    <mergeCell ref="W3:Y3"/>
    <mergeCell ref="Z3:AA3"/>
    <mergeCell ref="J34:M34"/>
    <mergeCell ref="J35:M35"/>
    <mergeCell ref="J29:M29"/>
    <mergeCell ref="J30:M30"/>
    <mergeCell ref="J31:M31"/>
    <mergeCell ref="J32:M32"/>
    <mergeCell ref="J33:M33"/>
    <mergeCell ref="J26:M26"/>
    <mergeCell ref="J27:M27"/>
    <mergeCell ref="J28:M28"/>
    <mergeCell ref="U7:AH7"/>
    <mergeCell ref="AH11:AH12"/>
    <mergeCell ref="O11:O12"/>
    <mergeCell ref="R4:R5"/>
    <mergeCell ref="AG11:AG12"/>
    <mergeCell ref="W11:W12"/>
    <mergeCell ref="Z11:Z12"/>
    <mergeCell ref="AB11:AB12"/>
    <mergeCell ref="AF11:AF12"/>
    <mergeCell ref="U11:U12"/>
    <mergeCell ref="X11:X12"/>
    <mergeCell ref="Y11:Y12"/>
    <mergeCell ref="B12:D12"/>
    <mergeCell ref="E10:H10"/>
    <mergeCell ref="E11:H11"/>
    <mergeCell ref="E12:H12"/>
    <mergeCell ref="N11:N12"/>
    <mergeCell ref="B13:D13"/>
    <mergeCell ref="B10:D10"/>
    <mergeCell ref="B11:D11"/>
    <mergeCell ref="B14:D14"/>
    <mergeCell ref="E14:H14"/>
    <mergeCell ref="B8:D8"/>
    <mergeCell ref="B9:D9"/>
    <mergeCell ref="E3:H3"/>
    <mergeCell ref="E4:H4"/>
    <mergeCell ref="E5:H5"/>
    <mergeCell ref="E6:H6"/>
    <mergeCell ref="E7:H7"/>
    <mergeCell ref="E8:H8"/>
    <mergeCell ref="E9:H9"/>
    <mergeCell ref="E27:G27"/>
    <mergeCell ref="J23:M23"/>
    <mergeCell ref="J38:M38"/>
    <mergeCell ref="J1:O1"/>
    <mergeCell ref="J20:M20"/>
    <mergeCell ref="J21:M21"/>
    <mergeCell ref="J22:M22"/>
    <mergeCell ref="J3:K3"/>
    <mergeCell ref="J6:M6"/>
    <mergeCell ref="B1:H1"/>
    <mergeCell ref="E13:H13"/>
    <mergeCell ref="B3:D3"/>
    <mergeCell ref="B4:D4"/>
    <mergeCell ref="B5:D5"/>
    <mergeCell ref="B6:D6"/>
    <mergeCell ref="B7:D7"/>
  </mergeCells>
  <conditionalFormatting sqref="E7 E3:E5 E10:E11">
    <cfRule type="cellIs" dxfId="60" priority="101" operator="greaterThan">
      <formula>0</formula>
    </cfRule>
  </conditionalFormatting>
  <conditionalFormatting sqref="E8">
    <cfRule type="cellIs" dxfId="59" priority="97" operator="greaterThan">
      <formula>0</formula>
    </cfRule>
  </conditionalFormatting>
  <conditionalFormatting sqref="E12:E13">
    <cfRule type="cellIs" dxfId="58" priority="71" operator="greaterThan">
      <formula>0</formula>
    </cfRule>
  </conditionalFormatting>
  <conditionalFormatting sqref="U9:AF14">
    <cfRule type="cellIs" dxfId="57" priority="61" operator="equal">
      <formula>0</formula>
    </cfRule>
  </conditionalFormatting>
  <conditionalFormatting sqref="K4">
    <cfRule type="expression" dxfId="56" priority="35">
      <formula>$K$4&gt;3200</formula>
    </cfRule>
  </conditionalFormatting>
  <conditionalFormatting sqref="E6">
    <cfRule type="cellIs" dxfId="55" priority="33" operator="greaterThan">
      <formula>0</formula>
    </cfRule>
  </conditionalFormatting>
  <conditionalFormatting sqref="D18:G18">
    <cfRule type="expression" dxfId="54" priority="291">
      <formula>$D$18=$AG$40</formula>
    </cfRule>
  </conditionalFormatting>
  <conditionalFormatting sqref="H37">
    <cfRule type="expression" dxfId="53" priority="29">
      <formula>$H$37&gt;60</formula>
    </cfRule>
  </conditionalFormatting>
  <conditionalFormatting sqref="AH15:AP15 L12:M12 N11:Q11 E22 F22:H26 K4:K5 H27 AI23:AP23 AI21:AP21 L9:Q10 T10:T13 O43:O45 AI25:AP26 S16 S15:T15 L13:Q14 S46:T46 S13 S10:S11 S9:AP9 U13:AH13 S14:AH14 AW25:AW26 AW21 AW23 AW9:AW11 AW13 U10:AU10 AG11:AU11 AI12:AU14 AW15 S21:S31 S32:T44 O21:Q37 P43:Q44 P38:Q38">
    <cfRule type="expression" dxfId="52" priority="358">
      <formula>$E$4=0</formula>
    </cfRule>
  </conditionalFormatting>
  <conditionalFormatting sqref="AW31 AI31:AP31 AH17">
    <cfRule type="expression" dxfId="51" priority="376">
      <formula>$E$4=0</formula>
    </cfRule>
  </conditionalFormatting>
  <conditionalFormatting sqref="K5">
    <cfRule type="expression" dxfId="50" priority="377">
      <formula>AND(OR($K$5&lt;600,$K$5&gt;1200),$E$4&gt;0)</formula>
    </cfRule>
  </conditionalFormatting>
  <conditionalFormatting sqref="E4:H4">
    <cfRule type="expression" dxfId="49" priority="28">
      <formula>$E$4&gt;5000</formula>
    </cfRule>
  </conditionalFormatting>
  <conditionalFormatting sqref="AI27:AP27 AW27">
    <cfRule type="expression" dxfId="48" priority="27">
      <formula>$E$4=0</formula>
    </cfRule>
  </conditionalFormatting>
  <conditionalFormatting sqref="AI22:AP22 AW22">
    <cfRule type="expression" dxfId="47" priority="24">
      <formula>$E$4=0</formula>
    </cfRule>
  </conditionalFormatting>
  <conditionalFormatting sqref="E14">
    <cfRule type="cellIs" dxfId="46" priority="13" operator="greaterThan">
      <formula>0</formula>
    </cfRule>
  </conditionalFormatting>
  <conditionalFormatting sqref="AQ25:AV26 AQ21:AV21 AQ23:AV23 AQ9:AV9 AQ15:AV15 AV10:AV11 AV13">
    <cfRule type="expression" dxfId="45" priority="11">
      <formula>$E$4=0</formula>
    </cfRule>
  </conditionalFormatting>
  <conditionalFormatting sqref="AQ31:AV31">
    <cfRule type="expression" dxfId="44" priority="12">
      <formula>$E$4=0</formula>
    </cfRule>
  </conditionalFormatting>
  <conditionalFormatting sqref="AQ27:AV27">
    <cfRule type="expression" dxfId="43" priority="10">
      <formula>$E$4=0</formula>
    </cfRule>
  </conditionalFormatting>
  <conditionalFormatting sqref="AQ22:AV22">
    <cfRule type="expression" dxfId="42" priority="9">
      <formula>$E$4=0</formula>
    </cfRule>
  </conditionalFormatting>
  <conditionalFormatting sqref="C28">
    <cfRule type="expression" dxfId="41" priority="1042">
      <formula>$C$28=$BV$43</formula>
    </cfRule>
    <cfRule type="expression" dxfId="40" priority="1043">
      <formula>$C$28=$BV$44</formula>
    </cfRule>
  </conditionalFormatting>
  <conditionalFormatting sqref="C32">
    <cfRule type="expression" dxfId="39" priority="1044">
      <formula>$C$32=$BV$47</formula>
    </cfRule>
  </conditionalFormatting>
  <conditionalFormatting sqref="E9">
    <cfRule type="expression" dxfId="38" priority="1129">
      <formula>OR($E$8=$BV$3,$E$8=$BV$4)</formula>
    </cfRule>
  </conditionalFormatting>
  <dataValidations count="10">
    <dataValidation type="list" allowBlank="1" showInputMessage="1" showErrorMessage="1" sqref="E12 E10">
      <formula1>$BV$23:$BV$24</formula1>
    </dataValidation>
    <dataValidation type="list" allowBlank="1" showInputMessage="1" showErrorMessage="1" sqref="C22:C26">
      <formula1>$BV$27:$BV$29</formula1>
    </dataValidation>
    <dataValidation type="list" allowBlank="1" showInputMessage="1" showErrorMessage="1" sqref="E11">
      <formula1>$BV$36:$BV$39</formula1>
    </dataValidation>
    <dataValidation type="whole" allowBlank="1" showInputMessage="1" showErrorMessage="1" sqref="E13">
      <formula1>0</formula1>
      <formula2>20</formula2>
    </dataValidation>
    <dataValidation type="list" allowBlank="1" showInputMessage="1" showErrorMessage="1" sqref="E6">
      <formula1>$CD$6:$CD$7</formula1>
    </dataValidation>
    <dataValidation type="whole" allowBlank="1" showInputMessage="1" showErrorMessage="1" errorTitle="Неверное количество" error="Введите количество от 0 до 10" sqref="E14:H14">
      <formula1>0</formula1>
      <formula2>10</formula2>
    </dataValidation>
    <dataValidation type="list" allowBlank="1" showInputMessage="1" showErrorMessage="1" sqref="E5">
      <formula1>$BX$73:$BX$77</formula1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8:H8">
      <formula1>$BV$6:$BV$11</formula1>
    </dataValidation>
    <dataValidation type="list" allowBlank="1" showInputMessage="1" showErrorMessage="1" sqref="E7:H7">
      <formula1>$BV$50:$BV$51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D28:G28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H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48" customWidth="1"/>
    <col min="2" max="3" width="45.77734375" style="48" customWidth="1"/>
    <col min="4" max="8" width="14.77734375" style="48" customWidth="1"/>
    <col min="9" max="9" width="1.77734375" style="48" customWidth="1"/>
    <col min="10" max="10" width="35.77734375" style="48" customWidth="1"/>
    <col min="11" max="15" width="14.77734375" style="48" customWidth="1"/>
    <col min="16" max="16" width="1.77734375" style="5" customWidth="1"/>
    <col min="17" max="17" width="14.77734375" style="5" hidden="1" customWidth="1"/>
    <col min="18" max="18" width="14.77734375" style="277" customWidth="1"/>
    <col min="19" max="19" width="1.77734375" style="5" customWidth="1"/>
    <col min="20" max="20" width="24.77734375" style="5" customWidth="1"/>
    <col min="21" max="32" width="11.77734375" style="48" customWidth="1"/>
    <col min="33" max="33" width="14.77734375" style="48" customWidth="1"/>
    <col min="34" max="34" width="14.77734375" style="277" customWidth="1"/>
    <col min="35" max="46" width="5.77734375" style="277" hidden="1" customWidth="1"/>
    <col min="47" max="49" width="14.77734375" style="277" hidden="1" customWidth="1"/>
    <col min="50" max="50" width="8.5546875" style="48" hidden="1" customWidth="1"/>
    <col min="51" max="51" width="15.6640625" style="48" hidden="1" customWidth="1"/>
    <col min="52" max="53" width="11.21875" style="48" hidden="1" customWidth="1"/>
    <col min="54" max="54" width="11.109375" style="48" hidden="1" customWidth="1"/>
    <col min="55" max="55" width="11.44140625" style="48" hidden="1" customWidth="1"/>
    <col min="56" max="56" width="12.5546875" style="48" hidden="1" customWidth="1"/>
    <col min="57" max="57" width="12.6640625" style="48" hidden="1" customWidth="1"/>
    <col min="58" max="60" width="11.21875" style="48" hidden="1" customWidth="1"/>
    <col min="61" max="61" width="10.88671875" style="48" hidden="1" customWidth="1"/>
    <col min="62" max="62" width="11.44140625" style="48" hidden="1" customWidth="1"/>
    <col min="63" max="63" width="8.5546875" style="48" hidden="1" customWidth="1"/>
    <col min="64" max="64" width="11.21875" style="48" hidden="1" customWidth="1"/>
    <col min="65" max="69" width="8.5546875" style="48" hidden="1" customWidth="1"/>
    <col min="70" max="72" width="14.21875" style="48" hidden="1" customWidth="1"/>
    <col min="73" max="73" width="11.21875" style="48" hidden="1" customWidth="1"/>
    <col min="74" max="74" width="19.44140625" style="48" hidden="1" customWidth="1"/>
    <col min="75" max="75" width="8.88671875" style="48" hidden="1" customWidth="1"/>
    <col min="76" max="76" width="16.77734375" style="48" hidden="1" customWidth="1"/>
    <col min="77" max="77" width="26.77734375" style="48" hidden="1" customWidth="1"/>
    <col min="78" max="78" width="18.5546875" style="48" hidden="1" customWidth="1"/>
    <col min="79" max="86" width="8.88671875" style="48" hidden="1" customWidth="1"/>
    <col min="87" max="90" width="8.88671875" style="48" customWidth="1"/>
    <col min="91" max="16384" width="8.88671875" style="48"/>
  </cols>
  <sheetData>
    <row r="1" spans="1:83" ht="25.05" customHeight="1" x14ac:dyDescent="0.3">
      <c r="B1" s="372" t="s">
        <v>92</v>
      </c>
      <c r="C1" s="372"/>
      <c r="D1" s="372"/>
      <c r="E1" s="372"/>
      <c r="F1" s="372"/>
      <c r="G1" s="372"/>
      <c r="H1" s="372"/>
      <c r="I1" s="123"/>
      <c r="J1" s="372" t="s">
        <v>93</v>
      </c>
      <c r="K1" s="372"/>
      <c r="L1" s="372"/>
      <c r="M1" s="372"/>
      <c r="N1" s="372"/>
      <c r="O1" s="372"/>
      <c r="P1" s="206"/>
      <c r="Q1" s="206"/>
    </row>
    <row r="2" spans="1:83" ht="25.05" customHeight="1" thickBot="1" x14ac:dyDescent="0.35">
      <c r="A2" s="5"/>
      <c r="I2" s="91"/>
      <c r="J2" s="91"/>
      <c r="K2" s="91"/>
      <c r="L2" s="91"/>
      <c r="M2" s="91"/>
      <c r="N2" s="91"/>
      <c r="O2" s="91"/>
      <c r="P2" s="91"/>
      <c r="Q2" s="91"/>
      <c r="R2" s="252"/>
      <c r="S2" s="252"/>
      <c r="T2" s="252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91"/>
      <c r="AY2" s="91"/>
      <c r="AZ2" s="91"/>
      <c r="BA2" s="91"/>
      <c r="BB2" s="91"/>
      <c r="BC2" s="91"/>
      <c r="BD2" s="91"/>
      <c r="BE2" s="91"/>
      <c r="BF2" s="91"/>
      <c r="BI2" s="91"/>
      <c r="BJ2" s="91"/>
      <c r="BK2" s="91"/>
      <c r="BM2" s="91"/>
      <c r="BN2" s="91"/>
      <c r="BO2" s="91"/>
      <c r="BP2" s="91"/>
      <c r="BQ2" s="91"/>
      <c r="BR2" s="91"/>
      <c r="BS2" s="91"/>
      <c r="BT2" s="91"/>
    </row>
    <row r="3" spans="1:83" ht="25.05" customHeight="1" thickBot="1" x14ac:dyDescent="0.35">
      <c r="B3" s="382" t="s">
        <v>109</v>
      </c>
      <c r="C3" s="383"/>
      <c r="D3" s="383"/>
      <c r="E3" s="388">
        <v>2600</v>
      </c>
      <c r="F3" s="388"/>
      <c r="G3" s="388"/>
      <c r="H3" s="389"/>
      <c r="J3" s="377" t="s">
        <v>228</v>
      </c>
      <c r="K3" s="378"/>
      <c r="L3" s="5"/>
      <c r="M3" s="5"/>
      <c r="N3" s="327"/>
      <c r="O3" s="327"/>
      <c r="R3" s="3"/>
      <c r="S3" s="3"/>
      <c r="T3" s="3"/>
      <c r="V3" s="288"/>
      <c r="W3" s="434" t="s">
        <v>374</v>
      </c>
      <c r="X3" s="434"/>
      <c r="Y3" s="434"/>
      <c r="Z3" s="412" t="s">
        <v>375</v>
      </c>
      <c r="AA3" s="412"/>
      <c r="AB3" s="288"/>
      <c r="AC3" s="288"/>
      <c r="AD3" s="5"/>
      <c r="AE3" s="5"/>
      <c r="AF3" s="5"/>
      <c r="AG3" s="5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5"/>
      <c r="AY3" s="5"/>
      <c r="BE3" s="204" t="s">
        <v>375</v>
      </c>
      <c r="BV3" s="93"/>
    </row>
    <row r="4" spans="1:83" ht="25.05" customHeight="1" x14ac:dyDescent="0.3">
      <c r="B4" s="384" t="s">
        <v>108</v>
      </c>
      <c r="C4" s="385"/>
      <c r="D4" s="385"/>
      <c r="E4" s="390">
        <v>1200</v>
      </c>
      <c r="F4" s="390"/>
      <c r="G4" s="390"/>
      <c r="H4" s="391"/>
      <c r="J4" s="250" t="s">
        <v>12</v>
      </c>
      <c r="K4" s="258">
        <f>E3-20</f>
        <v>2580</v>
      </c>
      <c r="L4" s="5"/>
      <c r="M4" s="94"/>
      <c r="N4" s="94"/>
      <c r="O4" s="94"/>
      <c r="P4" s="94"/>
      <c r="Q4" s="94"/>
      <c r="R4" s="423" t="s">
        <v>388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5"/>
      <c r="AY4" s="5"/>
      <c r="BV4" s="93">
        <v>1</v>
      </c>
      <c r="BX4" s="2"/>
      <c r="BY4" s="1" t="s">
        <v>386</v>
      </c>
      <c r="BZ4" s="1" t="s">
        <v>210</v>
      </c>
      <c r="CA4" s="2">
        <f>IF(E6=BY4,9,8)</f>
        <v>8</v>
      </c>
    </row>
    <row r="5" spans="1:83" ht="25.05" customHeight="1" thickBot="1" x14ac:dyDescent="0.35">
      <c r="B5" s="384" t="s">
        <v>383</v>
      </c>
      <c r="C5" s="385"/>
      <c r="D5" s="385"/>
      <c r="E5" s="380">
        <v>0</v>
      </c>
      <c r="F5" s="380"/>
      <c r="G5" s="380"/>
      <c r="H5" s="381"/>
      <c r="J5" s="253" t="s">
        <v>13</v>
      </c>
      <c r="K5" s="259">
        <f>ROUNDDOWN(IF(OR(E10=BV25,E10=BV26),IF(E8=1,E4-10,(E4-14)/E8),IF(OR(E10=BV27,E10=BV28),(E4-10*E8)/E8)),0)</f>
        <v>590</v>
      </c>
      <c r="L5" s="5"/>
      <c r="O5" s="5"/>
      <c r="R5" s="424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5"/>
      <c r="AY5" s="5"/>
      <c r="AZ5" s="115" t="s">
        <v>222</v>
      </c>
      <c r="BA5" s="115"/>
      <c r="BB5" s="115"/>
      <c r="BC5" s="157">
        <v>4950</v>
      </c>
      <c r="BD5" s="157"/>
      <c r="BE5" s="157"/>
      <c r="BF5" s="157"/>
      <c r="BG5" s="157"/>
      <c r="BH5" s="157"/>
      <c r="BI5" s="157"/>
      <c r="BJ5" s="157"/>
      <c r="BK5" s="157"/>
      <c r="BL5" s="157"/>
      <c r="BM5" s="158"/>
      <c r="BN5" s="158"/>
      <c r="BO5" s="158"/>
      <c r="BP5" s="158"/>
      <c r="BQ5" s="158"/>
      <c r="BR5" s="158"/>
      <c r="BS5" s="6"/>
      <c r="BT5" s="6"/>
      <c r="BV5" s="93">
        <v>2</v>
      </c>
      <c r="BX5" s="92"/>
      <c r="BY5" s="1" t="s">
        <v>387</v>
      </c>
      <c r="BZ5" s="1" t="s">
        <v>219</v>
      </c>
      <c r="CA5" s="92"/>
    </row>
    <row r="6" spans="1:83" ht="25.05" customHeight="1" thickBot="1" x14ac:dyDescent="0.35">
      <c r="B6" s="384" t="s">
        <v>209</v>
      </c>
      <c r="C6" s="385"/>
      <c r="D6" s="385"/>
      <c r="E6" s="380" t="s">
        <v>387</v>
      </c>
      <c r="F6" s="380"/>
      <c r="G6" s="380"/>
      <c r="H6" s="381"/>
      <c r="J6" s="5"/>
      <c r="K6" s="5"/>
      <c r="L6" s="5"/>
      <c r="M6" s="5"/>
      <c r="N6" s="5"/>
      <c r="O6" s="5"/>
      <c r="R6" s="7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5"/>
      <c r="AY6" s="5"/>
      <c r="AZ6" s="115" t="s">
        <v>223</v>
      </c>
      <c r="BA6" s="115"/>
      <c r="BB6" s="115"/>
      <c r="BC6" s="115">
        <v>5025</v>
      </c>
      <c r="BD6" s="157"/>
      <c r="BE6" s="115"/>
      <c r="BF6" s="115"/>
      <c r="BG6" s="115"/>
      <c r="BH6" s="115"/>
      <c r="BI6" s="115"/>
      <c r="BJ6" s="115"/>
      <c r="BK6" s="115"/>
      <c r="BL6" s="115"/>
      <c r="BM6" s="158"/>
      <c r="BN6" s="158"/>
      <c r="BO6" s="158"/>
      <c r="BP6" s="158"/>
      <c r="BQ6" s="158"/>
      <c r="BR6" s="158"/>
      <c r="BS6" s="6"/>
      <c r="BT6" s="6"/>
    </row>
    <row r="7" spans="1:83" ht="25.05" customHeight="1" x14ac:dyDescent="0.3">
      <c r="B7" s="384" t="s">
        <v>110</v>
      </c>
      <c r="C7" s="385"/>
      <c r="D7" s="385"/>
      <c r="E7" s="380" t="s">
        <v>119</v>
      </c>
      <c r="F7" s="380"/>
      <c r="G7" s="380"/>
      <c r="H7" s="381"/>
      <c r="J7" s="448" t="s">
        <v>164</v>
      </c>
      <c r="K7" s="449"/>
      <c r="L7" s="449"/>
      <c r="M7" s="449"/>
      <c r="N7" s="357"/>
      <c r="O7" s="110"/>
      <c r="P7" s="270"/>
      <c r="Q7" s="270"/>
      <c r="R7" s="219"/>
      <c r="S7" s="166"/>
      <c r="T7" s="282"/>
      <c r="U7" s="450" t="s">
        <v>88</v>
      </c>
      <c r="V7" s="450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20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3" t="s">
        <v>230</v>
      </c>
      <c r="AY7" s="3"/>
      <c r="AZ7" s="157" t="s">
        <v>224</v>
      </c>
      <c r="BA7" s="157"/>
      <c r="BB7" s="157"/>
      <c r="BC7" s="115">
        <v>5350</v>
      </c>
      <c r="BD7" s="157"/>
      <c r="BE7" s="115"/>
      <c r="BF7" s="115"/>
      <c r="BG7" s="115"/>
      <c r="BH7" s="115"/>
      <c r="BI7" s="115"/>
      <c r="BJ7" s="115"/>
      <c r="BK7" s="115"/>
      <c r="BL7" s="115"/>
      <c r="BM7" s="158"/>
      <c r="BN7" s="158"/>
      <c r="BO7" s="158"/>
      <c r="BP7" s="158"/>
      <c r="BQ7" s="158"/>
      <c r="BR7" s="158"/>
      <c r="BS7" s="6"/>
      <c r="BT7" s="6"/>
    </row>
    <row r="8" spans="1:83" ht="25.05" customHeight="1" x14ac:dyDescent="0.3">
      <c r="B8" s="386" t="s">
        <v>112</v>
      </c>
      <c r="C8" s="387"/>
      <c r="D8" s="387"/>
      <c r="E8" s="451">
        <v>2</v>
      </c>
      <c r="F8" s="451"/>
      <c r="G8" s="451"/>
      <c r="H8" s="452"/>
      <c r="J8" s="350" t="s">
        <v>0</v>
      </c>
      <c r="K8" s="351" t="s">
        <v>1</v>
      </c>
      <c r="L8" s="351" t="s">
        <v>6</v>
      </c>
      <c r="M8" s="351" t="s">
        <v>8</v>
      </c>
      <c r="N8" s="169" t="s">
        <v>89</v>
      </c>
      <c r="O8" s="203" t="s">
        <v>18</v>
      </c>
      <c r="P8" s="114"/>
      <c r="Q8" s="114"/>
      <c r="R8" s="220" t="s">
        <v>19</v>
      </c>
      <c r="S8" s="114"/>
      <c r="T8" s="265"/>
      <c r="U8" s="165">
        <v>1000</v>
      </c>
      <c r="V8" s="165">
        <v>1250</v>
      </c>
      <c r="W8" s="86">
        <v>1800</v>
      </c>
      <c r="X8" s="86">
        <v>2000</v>
      </c>
      <c r="Y8" s="86">
        <v>2500</v>
      </c>
      <c r="Z8" s="86">
        <v>2700</v>
      </c>
      <c r="AA8" s="86">
        <v>3000</v>
      </c>
      <c r="AB8" s="86">
        <v>3600</v>
      </c>
      <c r="AC8" s="86">
        <v>3750</v>
      </c>
      <c r="AD8" s="86">
        <v>4000</v>
      </c>
      <c r="AE8" s="86">
        <v>5000</v>
      </c>
      <c r="AF8" s="86">
        <v>5400</v>
      </c>
      <c r="AG8" s="169" t="s">
        <v>89</v>
      </c>
      <c r="AH8" s="46" t="s">
        <v>19</v>
      </c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 s="339"/>
      <c r="AU8" s="339"/>
      <c r="AV8" s="339"/>
      <c r="AW8" s="339"/>
      <c r="AX8" s="47"/>
      <c r="AY8" s="47"/>
      <c r="AZ8" s="86">
        <v>1000</v>
      </c>
      <c r="BA8" s="86">
        <v>1250</v>
      </c>
      <c r="BB8" s="86">
        <v>1800</v>
      </c>
      <c r="BC8" s="86">
        <v>2000</v>
      </c>
      <c r="BD8" s="86">
        <v>2500</v>
      </c>
      <c r="BE8" s="86">
        <v>2700</v>
      </c>
      <c r="BF8" s="86">
        <v>3000</v>
      </c>
      <c r="BG8" s="86">
        <v>3600</v>
      </c>
      <c r="BH8" s="86">
        <v>3750</v>
      </c>
      <c r="BI8" s="86">
        <v>4000</v>
      </c>
      <c r="BJ8" s="86">
        <v>5000</v>
      </c>
      <c r="BK8" s="116">
        <v>5400</v>
      </c>
      <c r="BL8" s="159"/>
      <c r="BM8" s="158"/>
      <c r="BN8" s="158"/>
      <c r="BO8" s="158"/>
      <c r="BP8" s="158"/>
      <c r="BQ8" s="158"/>
      <c r="BR8" s="158"/>
      <c r="BS8" s="6"/>
      <c r="BT8" s="6" t="s">
        <v>115</v>
      </c>
      <c r="BV8" s="57" t="s">
        <v>9</v>
      </c>
    </row>
    <row r="9" spans="1:83" ht="25.05" customHeight="1" x14ac:dyDescent="0.35">
      <c r="B9" s="386" t="s">
        <v>151</v>
      </c>
      <c r="C9" s="387"/>
      <c r="D9" s="387"/>
      <c r="E9" s="438" t="s">
        <v>153</v>
      </c>
      <c r="F9" s="438"/>
      <c r="G9" s="438"/>
      <c r="H9" s="439"/>
      <c r="J9" s="358" t="s">
        <v>452</v>
      </c>
      <c r="K9" s="202" t="s">
        <v>456</v>
      </c>
      <c r="L9" s="101">
        <f>K4</f>
        <v>2580</v>
      </c>
      <c r="M9" s="102">
        <f>IF(AND(E3&gt;0,E8=BV4),2,IF(AND(E3&gt;0,E8=BV5),4,0))</f>
        <v>4</v>
      </c>
      <c r="N9" s="102"/>
      <c r="O9" s="280">
        <f>IF(L9&gt;2650,M9,M9/2)</f>
        <v>2</v>
      </c>
      <c r="P9" s="230"/>
      <c r="Q9" s="230"/>
      <c r="R9" s="221">
        <f>O9*BT9</f>
        <v>7113.1</v>
      </c>
      <c r="S9" s="216"/>
      <c r="T9" s="266" t="str">
        <f>J9</f>
        <v>вертикальный профиль Smart</v>
      </c>
      <c r="U9" s="235">
        <f>IF($Z$3=$CE$21,AZ9,IF($Z$3=$CE$27,AZ30,IF($Z$3=$CE$28,AZ41,AZ19)))</f>
        <v>0</v>
      </c>
      <c r="V9" s="235">
        <f t="shared" ref="V9:AF9" si="0">IF($Z$3=$CE$21,BA9,IF($Z$3=$CE$27,BA30,IF($Z$3=$CE$28,BA41,BA19)))</f>
        <v>0</v>
      </c>
      <c r="W9" s="235">
        <f t="shared" si="0"/>
        <v>0</v>
      </c>
      <c r="X9" s="235">
        <f t="shared" si="0"/>
        <v>0</v>
      </c>
      <c r="Y9" s="235">
        <f t="shared" si="0"/>
        <v>0</v>
      </c>
      <c r="Z9" s="235">
        <f t="shared" si="0"/>
        <v>0</v>
      </c>
      <c r="AA9" s="235">
        <f t="shared" si="0"/>
        <v>0</v>
      </c>
      <c r="AB9" s="235">
        <f t="shared" si="0"/>
        <v>0</v>
      </c>
      <c r="AC9" s="235">
        <f t="shared" si="0"/>
        <v>0</v>
      </c>
      <c r="AD9" s="235">
        <f t="shared" si="0"/>
        <v>0</v>
      </c>
      <c r="AE9" s="235">
        <f t="shared" si="0"/>
        <v>0</v>
      </c>
      <c r="AF9" s="235">
        <f t="shared" si="0"/>
        <v>2</v>
      </c>
      <c r="AG9" s="99"/>
      <c r="AH9" s="326">
        <f>R9</f>
        <v>7113.1</v>
      </c>
      <c r="AI9" s="342"/>
      <c r="AJ9" s="342"/>
      <c r="AK9" s="342"/>
      <c r="AL9" s="342"/>
      <c r="AM9" s="342"/>
      <c r="AN9" s="342"/>
      <c r="AO9" s="342"/>
      <c r="AP9" s="342"/>
      <c r="AQ9" s="342"/>
      <c r="AR9" s="342"/>
      <c r="AS9" s="342"/>
      <c r="AT9" s="342"/>
      <c r="AU9" s="342"/>
      <c r="AV9" s="342"/>
      <c r="AW9" s="342"/>
      <c r="AX9" s="285">
        <v>0.69</v>
      </c>
      <c r="AY9" s="3">
        <f>AX9*L9*M9/1000</f>
        <v>7.1207999999999991</v>
      </c>
      <c r="AZ9" s="115">
        <v>0</v>
      </c>
      <c r="BA9" s="115">
        <v>0</v>
      </c>
      <c r="BB9" s="115">
        <v>0</v>
      </c>
      <c r="BC9" s="115">
        <v>0</v>
      </c>
      <c r="BD9" s="115">
        <v>0</v>
      </c>
      <c r="BE9" s="115">
        <v>0</v>
      </c>
      <c r="BF9" s="115">
        <v>0</v>
      </c>
      <c r="BG9" s="115">
        <v>0</v>
      </c>
      <c r="BH9" s="115">
        <v>0</v>
      </c>
      <c r="BI9" s="115">
        <v>0</v>
      </c>
      <c r="BJ9" s="115">
        <v>0</v>
      </c>
      <c r="BK9" s="264">
        <f>O9</f>
        <v>2</v>
      </c>
      <c r="BL9" s="157"/>
      <c r="BM9" s="115"/>
      <c r="BN9" s="115"/>
      <c r="BO9" s="115"/>
      <c r="BP9" s="160"/>
      <c r="BQ9" s="160"/>
      <c r="BR9" s="160"/>
      <c r="BS9" s="118"/>
      <c r="BT9" s="118">
        <f t="array" ref="BT9">INDEX(Цены!J:J,MATCH(J9&amp;$E$7,Цены!C:C&amp;Цены!G:G,0))</f>
        <v>3556.55</v>
      </c>
      <c r="BV9" s="57" t="s">
        <v>10</v>
      </c>
      <c r="CE9" s="1" t="s">
        <v>390</v>
      </c>
    </row>
    <row r="10" spans="1:83" ht="25.05" customHeight="1" x14ac:dyDescent="0.3">
      <c r="B10" s="396" t="s">
        <v>144</v>
      </c>
      <c r="C10" s="397"/>
      <c r="D10" s="397"/>
      <c r="E10" s="438" t="s">
        <v>116</v>
      </c>
      <c r="F10" s="438"/>
      <c r="G10" s="438"/>
      <c r="H10" s="439"/>
      <c r="J10" s="358" t="s">
        <v>2</v>
      </c>
      <c r="K10" s="202" t="s">
        <v>218</v>
      </c>
      <c r="L10" s="101">
        <f>K5-52</f>
        <v>538</v>
      </c>
      <c r="M10" s="102">
        <f>IF(E4=0,0,E8*2)</f>
        <v>4</v>
      </c>
      <c r="N10" s="349">
        <f t="shared" ref="N10" si="1">L10*M10</f>
        <v>2152</v>
      </c>
      <c r="O10" s="347">
        <f>BM10+IF(BL10&gt;0,1,0)</f>
        <v>1</v>
      </c>
      <c r="P10" s="230"/>
      <c r="Q10" s="230"/>
      <c r="R10" s="221">
        <f>O10*BT10</f>
        <v>3524.86</v>
      </c>
      <c r="S10" s="216"/>
      <c r="T10" s="266" t="str">
        <f t="shared" ref="T10" si="2">J10</f>
        <v>рамка верхняя</v>
      </c>
      <c r="U10" s="235">
        <f t="shared" ref="U10:U12" si="3">IF($Z$3=$CE$21,AZ10,IF($Z$3=$CE$27,AZ31,IF($Z$3=$CE$28,AZ42,AZ20)))</f>
        <v>0</v>
      </c>
      <c r="V10" s="235">
        <f t="shared" ref="V10:V12" si="4">IF($Z$3=$CE$21,BA10,IF($Z$3=$CE$27,BA31,IF($Z$3=$CE$28,BA42,BA20)))</f>
        <v>0</v>
      </c>
      <c r="W10" s="235">
        <f t="shared" ref="W10:W12" si="5">IF($Z$3=$CE$21,BB10,IF($Z$3=$CE$27,BB31,IF($Z$3=$CE$28,BB42,BB20)))</f>
        <v>0</v>
      </c>
      <c r="X10" s="235">
        <f t="shared" ref="X10:X12" si="6">IF($Z$3=$CE$21,BC10,IF($Z$3=$CE$27,BC31,IF($Z$3=$CE$28,BC42,BC20)))</f>
        <v>0</v>
      </c>
      <c r="Y10" s="235">
        <f t="shared" ref="Y10:Y12" si="7">IF($Z$3=$CE$21,BD10,IF($Z$3=$CE$27,BD31,IF($Z$3=$CE$28,BD42,BD20)))</f>
        <v>0</v>
      </c>
      <c r="Z10" s="235">
        <f t="shared" ref="Z10:Z12" si="8">IF($Z$3=$CE$21,BE10,IF($Z$3=$CE$27,BE31,IF($Z$3=$CE$28,BE42,BE20)))</f>
        <v>0</v>
      </c>
      <c r="AA10" s="235">
        <f t="shared" ref="AA10:AA12" si="9">IF($Z$3=$CE$21,BF10,IF($Z$3=$CE$27,BF31,IF($Z$3=$CE$28,BF42,BF20)))</f>
        <v>1</v>
      </c>
      <c r="AB10" s="235">
        <f t="shared" ref="AB10:AB12" si="10">IF($Z$3=$CE$21,BG10,IF($Z$3=$CE$27,BG31,IF($Z$3=$CE$28,BG42,BG20)))</f>
        <v>0</v>
      </c>
      <c r="AC10" s="235">
        <f t="shared" ref="AC10:AC12" si="11">IF($Z$3=$CE$21,BH10,IF($Z$3=$CE$27,BH31,IF($Z$3=$CE$28,BH42,BH20)))</f>
        <v>0</v>
      </c>
      <c r="AD10" s="235">
        <f t="shared" ref="AD10:AD12" si="12">IF($Z$3=$CE$21,BI10,IF($Z$3=$CE$27,BI31,IF($Z$3=$CE$28,BI42,BI20)))</f>
        <v>0</v>
      </c>
      <c r="AE10" s="235">
        <f t="shared" ref="AE10:AE12" si="13">IF($Z$3=$CE$21,BJ10,IF($Z$3=$CE$27,BJ31,IF($Z$3=$CE$28,BJ42,BJ20)))</f>
        <v>0</v>
      </c>
      <c r="AF10" s="235">
        <f t="shared" ref="AF10:AF12" si="14">IF($Z$3=$CE$21,BK10,IF($Z$3=$CE$27,BK31,IF($Z$3=$CE$28,BK42,BK20)))</f>
        <v>0</v>
      </c>
      <c r="AG10" s="323">
        <f>AU10</f>
        <v>3000</v>
      </c>
      <c r="AH10" s="324">
        <f>(U10*0.2+V10*0.25+X10*0.4+Y10*0.5+AA10*0.6+AC10*0.75+AD10*0.8+AE10)*BT10</f>
        <v>2114.9160000000002</v>
      </c>
      <c r="AI10" s="340">
        <f>U10*U8</f>
        <v>0</v>
      </c>
      <c r="AJ10" s="340">
        <f t="shared" ref="AJ10:AT10" si="15">V10*V8</f>
        <v>0</v>
      </c>
      <c r="AK10" s="340">
        <f t="shared" si="15"/>
        <v>0</v>
      </c>
      <c r="AL10" s="340">
        <f t="shared" si="15"/>
        <v>0</v>
      </c>
      <c r="AM10" s="340">
        <f t="shared" si="15"/>
        <v>0</v>
      </c>
      <c r="AN10" s="340">
        <f t="shared" si="15"/>
        <v>0</v>
      </c>
      <c r="AO10" s="340">
        <f t="shared" si="15"/>
        <v>3000</v>
      </c>
      <c r="AP10" s="340">
        <f t="shared" si="15"/>
        <v>0</v>
      </c>
      <c r="AQ10" s="340">
        <f t="shared" si="15"/>
        <v>0</v>
      </c>
      <c r="AR10" s="340">
        <f t="shared" si="15"/>
        <v>0</v>
      </c>
      <c r="AS10" s="340">
        <f t="shared" si="15"/>
        <v>0</v>
      </c>
      <c r="AT10" s="340">
        <f t="shared" si="15"/>
        <v>0</v>
      </c>
      <c r="AU10" s="340">
        <f>SUM(AI10:AT10)</f>
        <v>3000</v>
      </c>
      <c r="AV10" s="340"/>
      <c r="AW10" s="340"/>
      <c r="AX10" s="286">
        <v>0.47399999999999998</v>
      </c>
      <c r="AY10" s="3">
        <f>AX10*L10*M10/1000</f>
        <v>1.0200480000000001</v>
      </c>
      <c r="AZ10" s="115">
        <f>IF(AND(BL10&gt;0,BL10&lt;=1000),1,0)</f>
        <v>0</v>
      </c>
      <c r="BA10" s="117">
        <v>0</v>
      </c>
      <c r="BB10" s="117">
        <v>0</v>
      </c>
      <c r="BC10" s="115">
        <f>IF(AND(BL10&gt;1000,BL10&lt;=2000),1,0)</f>
        <v>0</v>
      </c>
      <c r="BD10" s="117">
        <v>0</v>
      </c>
      <c r="BE10" s="117">
        <v>0</v>
      </c>
      <c r="BF10" s="115">
        <f>IF(AND(BL10&gt;2000,BL10&lt;=3000),1,0)</f>
        <v>1</v>
      </c>
      <c r="BG10" s="117">
        <v>0</v>
      </c>
      <c r="BH10" s="117">
        <v>0</v>
      </c>
      <c r="BI10" s="115">
        <f>IF(AND(BL10&gt;3000,BL10&lt;=4000),1,0)</f>
        <v>0</v>
      </c>
      <c r="BJ10" s="115">
        <f>IF(AND(BL10&gt;4000,BL10&lt;=4950),BM10+1,BM10)</f>
        <v>0</v>
      </c>
      <c r="BK10" s="117">
        <v>0</v>
      </c>
      <c r="BL10" s="157">
        <f>N10-INT($BC$5/L10)*L10*BM10</f>
        <v>2152</v>
      </c>
      <c r="BM10" s="115">
        <f>INT(M10/INT($BC$5/L10))</f>
        <v>0</v>
      </c>
      <c r="BN10" s="115"/>
      <c r="BO10" s="115"/>
      <c r="BP10" s="160"/>
      <c r="BQ10" s="160" t="s">
        <v>225</v>
      </c>
      <c r="BR10" s="161" t="s">
        <v>226</v>
      </c>
      <c r="BS10" s="126"/>
      <c r="BT10" s="3">
        <f t="array" ref="BT10">INDEX(Цены!J:J,MATCH(J10&amp;$E$7,Цены!C:C&amp;Цены!G:G,0))</f>
        <v>3524.86</v>
      </c>
      <c r="BV10" s="57" t="s">
        <v>11</v>
      </c>
      <c r="CE10" s="1" t="s">
        <v>388</v>
      </c>
    </row>
    <row r="11" spans="1:83" ht="25.05" customHeight="1" x14ac:dyDescent="0.3">
      <c r="B11" s="456" t="s">
        <v>155</v>
      </c>
      <c r="C11" s="457"/>
      <c r="D11" s="457"/>
      <c r="E11" s="440">
        <v>0</v>
      </c>
      <c r="F11" s="440"/>
      <c r="G11" s="440"/>
      <c r="H11" s="441"/>
      <c r="J11" s="108" t="str">
        <f>E6</f>
        <v>рамка средняя 4в1</v>
      </c>
      <c r="K11" s="202" t="str">
        <f>IF(J11=BY4,BZ4,BZ5)</f>
        <v>FA0716.VP500</v>
      </c>
      <c r="L11" s="101">
        <f>IF(AND(E6=BY5,E5&gt;0),K5-52,IF(AND(E6=BY4,E5&gt;0),K5-51,0))</f>
        <v>0</v>
      </c>
      <c r="M11" s="102">
        <f>E5*E8</f>
        <v>0</v>
      </c>
      <c r="N11" s="349">
        <f>L11*M11</f>
        <v>0</v>
      </c>
      <c r="O11" s="347">
        <f>IF(J11=BY5,BM11+IF(BL11&gt;0,1,0),BP11+IF(BO11&gt;0,1,0))</f>
        <v>0</v>
      </c>
      <c r="P11" s="230"/>
      <c r="Q11" s="230"/>
      <c r="R11" s="221">
        <f>O11*BT11</f>
        <v>0</v>
      </c>
      <c r="S11" s="216"/>
      <c r="T11" s="266" t="str">
        <f>J11</f>
        <v>рамка средняя 4в1</v>
      </c>
      <c r="U11" s="235">
        <f t="shared" si="3"/>
        <v>0</v>
      </c>
      <c r="V11" s="235">
        <f t="shared" si="4"/>
        <v>0</v>
      </c>
      <c r="W11" s="235">
        <f t="shared" si="5"/>
        <v>0</v>
      </c>
      <c r="X11" s="235">
        <f t="shared" si="6"/>
        <v>0</v>
      </c>
      <c r="Y11" s="235">
        <f t="shared" si="7"/>
        <v>0</v>
      </c>
      <c r="Z11" s="235">
        <f t="shared" si="8"/>
        <v>0</v>
      </c>
      <c r="AA11" s="235">
        <f t="shared" si="9"/>
        <v>0</v>
      </c>
      <c r="AB11" s="235">
        <f t="shared" si="10"/>
        <v>0</v>
      </c>
      <c r="AC11" s="235">
        <f t="shared" si="11"/>
        <v>0</v>
      </c>
      <c r="AD11" s="235">
        <f t="shared" si="12"/>
        <v>0</v>
      </c>
      <c r="AE11" s="235">
        <f t="shared" si="13"/>
        <v>0</v>
      </c>
      <c r="AF11" s="235">
        <f t="shared" si="14"/>
        <v>0</v>
      </c>
      <c r="AG11" s="323">
        <f t="shared" ref="AG11:AG12" si="16">AU11</f>
        <v>0</v>
      </c>
      <c r="AH11" s="325">
        <f>IF(E6=BY4,AW12,AV12)</f>
        <v>0</v>
      </c>
      <c r="AI11" s="340">
        <f>U11*U8</f>
        <v>0</v>
      </c>
      <c r="AJ11" s="340">
        <f t="shared" ref="AJ11:AT11" si="17">V11*V8</f>
        <v>0</v>
      </c>
      <c r="AK11" s="340">
        <f t="shared" si="17"/>
        <v>0</v>
      </c>
      <c r="AL11" s="340">
        <f t="shared" si="17"/>
        <v>0</v>
      </c>
      <c r="AM11" s="340">
        <f t="shared" si="17"/>
        <v>0</v>
      </c>
      <c r="AN11" s="340">
        <f t="shared" si="17"/>
        <v>0</v>
      </c>
      <c r="AO11" s="340">
        <f t="shared" si="17"/>
        <v>0</v>
      </c>
      <c r="AP11" s="340">
        <f t="shared" si="17"/>
        <v>0</v>
      </c>
      <c r="AQ11" s="340">
        <f t="shared" si="17"/>
        <v>0</v>
      </c>
      <c r="AR11" s="340">
        <f t="shared" si="17"/>
        <v>0</v>
      </c>
      <c r="AS11" s="340">
        <f t="shared" si="17"/>
        <v>0</v>
      </c>
      <c r="AT11" s="340">
        <f t="shared" si="17"/>
        <v>0</v>
      </c>
      <c r="AU11" s="340">
        <f t="shared" ref="AU11:AU12" si="18">SUM(AI11:AT11)</f>
        <v>0</v>
      </c>
      <c r="AV11" s="160" t="s">
        <v>225</v>
      </c>
      <c r="AW11" s="161" t="s">
        <v>226</v>
      </c>
      <c r="AX11" s="286">
        <v>0.58499999999999996</v>
      </c>
      <c r="AY11" s="3">
        <f>AX11*L11*M11/1000</f>
        <v>0</v>
      </c>
      <c r="AZ11" s="162">
        <f>IF(AND(J11=BY5,BL11&gt;0,BL11&lt;=1000),1,0)</f>
        <v>0</v>
      </c>
      <c r="BA11" s="117">
        <v>0</v>
      </c>
      <c r="BB11" s="163">
        <f>IF(AND(J11=BY4,BO11&gt;0,BO11&lt;=1800),1,0)</f>
        <v>0</v>
      </c>
      <c r="BC11" s="162">
        <f>IF(AND(J11=BY5,BL11&gt;1000,BL11&lt;=2000),1,0)</f>
        <v>0</v>
      </c>
      <c r="BD11" s="117">
        <v>0</v>
      </c>
      <c r="BE11" s="163">
        <f>IF(AND(J11=BY4,BO11&gt;1800,BO11&lt;=2700),1,0)</f>
        <v>0</v>
      </c>
      <c r="BF11" s="162">
        <f>IF(AND(J11=BY5,BL11&gt;2000,BL11&lt;=3000),1,0)</f>
        <v>0</v>
      </c>
      <c r="BG11" s="163">
        <f>IF(AND(J11=BY4,BO11&gt;2700,BO11&lt;=3600),1,0)</f>
        <v>0</v>
      </c>
      <c r="BH11" s="117">
        <v>0</v>
      </c>
      <c r="BI11" s="162">
        <f>IF(AND(J11=BY5,BL11&gt;3000,BL11&lt;=4000),1,0)</f>
        <v>0</v>
      </c>
      <c r="BJ11" s="162">
        <f>IF(AND(J11=BY5,BL11&gt;4000,BL11&lt;=4950),BM11+1,BM11)</f>
        <v>0</v>
      </c>
      <c r="BK11" s="163">
        <f>IF(AND(J11=BY4,BO11&gt;3600,BO11&lt;=5350),BP11+1,BP11)</f>
        <v>0</v>
      </c>
      <c r="BL11" s="157">
        <f>IF(E5&lt;&gt;0,N11-INT(BC5/L11)*L11*BM11,0)</f>
        <v>0</v>
      </c>
      <c r="BM11" s="115">
        <f>IF(AND(E6=BY5,E5&lt;&gt;0),INT(M11/INT(BC5/L11)),0)</f>
        <v>0</v>
      </c>
      <c r="BN11" s="115"/>
      <c r="BO11" s="115">
        <f>IF(E5&lt;&gt;0,N11-INT(BC5/L11)*L11*BP11,0)</f>
        <v>0</v>
      </c>
      <c r="BP11" s="160">
        <f>IF(AND(E6=BY5,E5&lt;&gt;0),INT(M11/INT(BC5/L11)),0)</f>
        <v>0</v>
      </c>
      <c r="BQ11" s="160">
        <f>(U11*0.2+X11*0.4+AA11*0.6+AD11*0.8+AE11)*BT11</f>
        <v>0</v>
      </c>
      <c r="BR11" s="160">
        <f>(W11*0.34+Z11*0.5+AB11*0.67+AF11)*BT11</f>
        <v>0</v>
      </c>
      <c r="BS11" s="118"/>
      <c r="BT11" s="3">
        <f t="array" ref="BT11">INDEX(Цены!J:J,MATCH(J11&amp;$E$7,Цены!C:C&amp;Цены!G:G,0))</f>
        <v>4119.82</v>
      </c>
      <c r="BV11" s="5"/>
      <c r="CE11" s="1" t="s">
        <v>389</v>
      </c>
    </row>
    <row r="12" spans="1:83" ht="25.05" customHeight="1" thickBot="1" x14ac:dyDescent="0.4">
      <c r="B12" s="456" t="s">
        <v>156</v>
      </c>
      <c r="C12" s="457"/>
      <c r="D12" s="457"/>
      <c r="E12" s="442">
        <v>540</v>
      </c>
      <c r="F12" s="442"/>
      <c r="G12" s="442"/>
      <c r="H12" s="443"/>
      <c r="J12" s="358" t="s">
        <v>14</v>
      </c>
      <c r="K12" s="202" t="s">
        <v>181</v>
      </c>
      <c r="L12" s="101">
        <f>E12</f>
        <v>540</v>
      </c>
      <c r="M12" s="102">
        <f>E8*E13</f>
        <v>4</v>
      </c>
      <c r="N12" s="349">
        <f>L12*M12</f>
        <v>2160</v>
      </c>
      <c r="O12" s="347">
        <f>CEILING((L12*M12)/5400,1)</f>
        <v>1</v>
      </c>
      <c r="P12" s="230"/>
      <c r="Q12" s="230"/>
      <c r="R12" s="221">
        <f>O12*BT12</f>
        <v>1440.37</v>
      </c>
      <c r="S12" s="216"/>
      <c r="T12" s="266" t="str">
        <f>J12</f>
        <v>ручка-рейлинг</v>
      </c>
      <c r="U12" s="235">
        <f t="shared" si="3"/>
        <v>0</v>
      </c>
      <c r="V12" s="235">
        <f t="shared" si="4"/>
        <v>0</v>
      </c>
      <c r="W12" s="235">
        <f t="shared" si="5"/>
        <v>0</v>
      </c>
      <c r="X12" s="235">
        <f t="shared" si="6"/>
        <v>0</v>
      </c>
      <c r="Y12" s="235">
        <f t="shared" si="7"/>
        <v>0</v>
      </c>
      <c r="Z12" s="235">
        <f t="shared" si="8"/>
        <v>1</v>
      </c>
      <c r="AA12" s="235">
        <f t="shared" si="9"/>
        <v>0</v>
      </c>
      <c r="AB12" s="235">
        <f t="shared" si="10"/>
        <v>0</v>
      </c>
      <c r="AC12" s="235">
        <f t="shared" si="11"/>
        <v>0</v>
      </c>
      <c r="AD12" s="235">
        <f t="shared" si="12"/>
        <v>0</v>
      </c>
      <c r="AE12" s="235">
        <f t="shared" si="13"/>
        <v>0</v>
      </c>
      <c r="AF12" s="235">
        <f t="shared" si="14"/>
        <v>0</v>
      </c>
      <c r="AG12" s="323">
        <f t="shared" si="16"/>
        <v>2700</v>
      </c>
      <c r="AH12" s="284">
        <f>(Z12*0.5+AF12)*BT12</f>
        <v>720.18499999999995</v>
      </c>
      <c r="AI12" s="340">
        <f>U12*U8</f>
        <v>0</v>
      </c>
      <c r="AJ12" s="340">
        <f t="shared" ref="AJ12:AT12" si="19">V12*V8</f>
        <v>0</v>
      </c>
      <c r="AK12" s="340">
        <f t="shared" si="19"/>
        <v>0</v>
      </c>
      <c r="AL12" s="340">
        <f t="shared" si="19"/>
        <v>0</v>
      </c>
      <c r="AM12" s="340">
        <f t="shared" si="19"/>
        <v>0</v>
      </c>
      <c r="AN12" s="340">
        <f t="shared" si="19"/>
        <v>2700</v>
      </c>
      <c r="AO12" s="340">
        <f t="shared" si="19"/>
        <v>0</v>
      </c>
      <c r="AP12" s="340">
        <f t="shared" si="19"/>
        <v>0</v>
      </c>
      <c r="AQ12" s="340">
        <f t="shared" si="19"/>
        <v>0</v>
      </c>
      <c r="AR12" s="340">
        <f t="shared" si="19"/>
        <v>0</v>
      </c>
      <c r="AS12" s="340">
        <f t="shared" si="19"/>
        <v>0</v>
      </c>
      <c r="AT12" s="340">
        <f t="shared" si="19"/>
        <v>0</v>
      </c>
      <c r="AU12" s="340">
        <f t="shared" si="18"/>
        <v>2700</v>
      </c>
      <c r="AV12" s="217">
        <f>(U11*0.2+V11*0.25+X11*0.4+Y11*0.5+AA11*0.6+AC11*0.75+AD11*0.8+AE11)*BT11</f>
        <v>0</v>
      </c>
      <c r="AW12" s="217">
        <f>(W11*0.34+Z11*0.5+AB11*0.67+AF11)*BT11</f>
        <v>0</v>
      </c>
      <c r="AX12" s="287">
        <v>0.33600000000000002</v>
      </c>
      <c r="AY12" s="3">
        <f>AX12*L11*M11/1000</f>
        <v>0</v>
      </c>
      <c r="AZ12" s="164">
        <v>0</v>
      </c>
      <c r="BA12" s="164">
        <v>0</v>
      </c>
      <c r="BB12" s="164">
        <v>0</v>
      </c>
      <c r="BC12" s="164">
        <v>0</v>
      </c>
      <c r="BD12" s="164">
        <v>0</v>
      </c>
      <c r="BE12" s="115">
        <f>IF(AND(BO12&gt;0,BO12&lt;=2700),1,0)</f>
        <v>1</v>
      </c>
      <c r="BF12" s="164">
        <v>0</v>
      </c>
      <c r="BG12" s="164">
        <v>0</v>
      </c>
      <c r="BH12" s="164">
        <v>0</v>
      </c>
      <c r="BI12" s="164">
        <v>0</v>
      </c>
      <c r="BJ12" s="164">
        <v>0</v>
      </c>
      <c r="BK12" s="115">
        <f>IF(AND(BO12&gt;2700,BO12&lt;=5350),BP12+1,BP12)</f>
        <v>0</v>
      </c>
      <c r="BL12" s="157"/>
      <c r="BM12" s="115"/>
      <c r="BN12" s="157"/>
      <c r="BO12" s="157">
        <f>N12-BC7*BM12</f>
        <v>2160</v>
      </c>
      <c r="BP12" s="157">
        <f>INT(N12/BC7)</f>
        <v>0</v>
      </c>
      <c r="BQ12" s="157"/>
      <c r="BR12" s="157"/>
      <c r="BS12" s="5"/>
      <c r="BT12" s="3">
        <f t="array" ref="BT12">IFERROR(INDEX(Цены!J:J,MATCH(J12&amp;$E$7,Цены!C:C&amp;Цены!G:G,0)),Цены!J36)</f>
        <v>1440.37</v>
      </c>
      <c r="BV12" s="5"/>
    </row>
    <row r="13" spans="1:83" ht="25.05" customHeight="1" thickBot="1" x14ac:dyDescent="0.35">
      <c r="B13" s="458" t="s">
        <v>458</v>
      </c>
      <c r="C13" s="459"/>
      <c r="D13" s="459"/>
      <c r="E13" s="453">
        <v>2</v>
      </c>
      <c r="F13" s="453"/>
      <c r="G13" s="453"/>
      <c r="H13" s="454"/>
      <c r="J13" s="225"/>
      <c r="K13" s="226"/>
      <c r="L13" s="226"/>
      <c r="M13" s="226"/>
      <c r="N13" s="226"/>
      <c r="O13" s="227"/>
      <c r="P13" s="207"/>
      <c r="Q13" s="207"/>
      <c r="R13" s="109">
        <f>SUM(R9:R12)</f>
        <v>12078.330000000002</v>
      </c>
      <c r="S13" s="234"/>
      <c r="T13" s="283"/>
      <c r="U13" s="446" t="s">
        <v>91</v>
      </c>
      <c r="V13" s="446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3"/>
      <c r="AH13" s="109">
        <f>SUM(AH9:AH12)</f>
        <v>9948.2009999999991</v>
      </c>
      <c r="AI13" s="343"/>
      <c r="AJ13" s="343"/>
      <c r="AK13" s="343"/>
      <c r="AL13" s="343"/>
      <c r="AM13" s="343"/>
      <c r="AN13" s="344"/>
      <c r="AO13" s="343"/>
      <c r="AP13" s="343"/>
      <c r="AQ13" s="343"/>
      <c r="AR13" s="343"/>
      <c r="AS13" s="343"/>
      <c r="AT13" s="343"/>
      <c r="AU13" s="343"/>
      <c r="AV13" s="343"/>
      <c r="AW13" s="343"/>
      <c r="AX13" s="289">
        <v>0.16900000000000001</v>
      </c>
      <c r="AY13" s="3">
        <f>AX13*L12*M12/1000</f>
        <v>0.36504000000000003</v>
      </c>
      <c r="AZ13" s="5"/>
      <c r="BA13" s="5"/>
      <c r="BB13" s="5"/>
      <c r="BC13" s="5"/>
      <c r="BD13" s="5"/>
      <c r="BE13" s="204" t="s">
        <v>381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J14" s="95"/>
      <c r="K14" s="5"/>
      <c r="L14" s="5"/>
      <c r="M14" s="5"/>
      <c r="N14" s="5"/>
      <c r="O14" s="9"/>
      <c r="S14" s="237"/>
      <c r="AI14" s="340"/>
      <c r="AJ14" s="340"/>
      <c r="AK14" s="340"/>
      <c r="AL14" s="340"/>
      <c r="AM14" s="340"/>
      <c r="AN14" s="344"/>
      <c r="AO14" s="340"/>
      <c r="AP14" s="340"/>
      <c r="AQ14" s="340"/>
      <c r="AR14" s="340"/>
      <c r="AS14" s="340"/>
      <c r="AT14" s="340"/>
      <c r="AU14" s="340"/>
      <c r="AV14" s="340"/>
      <c r="AW14" s="340"/>
      <c r="AY14" s="48">
        <f>IF(E6=BY4,AY9+AY10+AY12+AY13,AY9+AY10+AY11+AY13)</f>
        <v>8.5058879999999988</v>
      </c>
      <c r="BT14" s="3"/>
    </row>
    <row r="15" spans="1:83" ht="25.05" customHeight="1" thickBot="1" x14ac:dyDescent="0.35">
      <c r="J15" s="356"/>
      <c r="K15" s="352"/>
      <c r="L15" s="352"/>
      <c r="M15" s="352"/>
      <c r="N15" s="352"/>
      <c r="O15" s="44"/>
      <c r="P15" s="270"/>
      <c r="Q15" s="270"/>
      <c r="R15" s="238"/>
      <c r="S15" s="270"/>
      <c r="T15" s="270"/>
      <c r="U15" s="270"/>
      <c r="V15" s="270"/>
      <c r="W15" s="270"/>
      <c r="X15" s="270"/>
      <c r="Y15" s="270"/>
      <c r="Z15" s="270"/>
      <c r="AA15" s="270"/>
      <c r="AB15" s="270"/>
      <c r="AC15" s="435" t="s">
        <v>90</v>
      </c>
      <c r="AD15" s="435"/>
      <c r="AE15" s="435"/>
      <c r="AF15" s="435"/>
      <c r="AG15" s="435"/>
      <c r="AH15" s="224">
        <f>AH13+R35+H26</f>
        <v>20222.771000000001</v>
      </c>
      <c r="AI15" s="338"/>
      <c r="AJ15" s="338"/>
      <c r="AK15" s="338"/>
      <c r="AL15" s="338"/>
      <c r="AM15" s="338"/>
      <c r="AN15" s="344"/>
      <c r="AO15" s="338"/>
      <c r="AP15" s="338"/>
      <c r="AQ15" s="338"/>
      <c r="AR15" s="338"/>
      <c r="AS15" s="338"/>
      <c r="AT15" s="338"/>
      <c r="AU15" s="338"/>
      <c r="AV15" s="338"/>
      <c r="AW15" s="338"/>
      <c r="AX15" s="3"/>
      <c r="AY15" s="244">
        <f>AY14/E8</f>
        <v>4.2529439999999994</v>
      </c>
      <c r="AZ15" s="115" t="s">
        <v>222</v>
      </c>
      <c r="BA15" s="115"/>
      <c r="BB15" s="115"/>
      <c r="BC15" s="157">
        <v>5000</v>
      </c>
      <c r="BD15" s="157"/>
      <c r="BE15" s="157"/>
      <c r="BF15" s="157"/>
      <c r="BG15" s="157"/>
      <c r="BH15" s="157"/>
      <c r="BI15" s="157"/>
      <c r="BJ15" s="157"/>
      <c r="BK15" s="157"/>
      <c r="BL15" s="157"/>
      <c r="BM15" s="158"/>
      <c r="BN15" s="158"/>
      <c r="BO15" s="158"/>
      <c r="BP15" s="158"/>
      <c r="BQ15" s="158"/>
      <c r="BR15" s="158"/>
      <c r="BS15" s="6"/>
      <c r="BT15" s="3"/>
      <c r="BV15" s="43">
        <v>0</v>
      </c>
    </row>
    <row r="16" spans="1:83" ht="25.05" customHeight="1" thickBot="1" x14ac:dyDescent="0.35">
      <c r="B16" s="50"/>
      <c r="C16" s="51"/>
      <c r="D16" s="51"/>
      <c r="E16" s="51"/>
      <c r="F16" s="51"/>
      <c r="G16" s="51"/>
      <c r="H16" s="52"/>
      <c r="I16" s="68"/>
      <c r="J16" s="96"/>
      <c r="K16" s="8"/>
      <c r="L16" s="8"/>
      <c r="M16" s="5"/>
      <c r="N16" s="5"/>
      <c r="O16" s="49"/>
      <c r="P16" s="8"/>
      <c r="Q16" s="8"/>
      <c r="R16" s="8"/>
      <c r="S16" s="8"/>
      <c r="T16" s="262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6"/>
      <c r="AZ16" s="115" t="s">
        <v>223</v>
      </c>
      <c r="BA16" s="115"/>
      <c r="BB16" s="115"/>
      <c r="BC16" s="115">
        <v>5075</v>
      </c>
      <c r="BD16" s="157"/>
      <c r="BE16" s="115"/>
      <c r="BF16" s="115"/>
      <c r="BG16" s="115"/>
      <c r="BH16" s="115"/>
      <c r="BI16" s="115"/>
      <c r="BJ16" s="115"/>
      <c r="BK16" s="115"/>
      <c r="BL16" s="115"/>
      <c r="BM16" s="158"/>
      <c r="BN16" s="158"/>
      <c r="BO16" s="158"/>
      <c r="BP16" s="158"/>
      <c r="BQ16" s="158"/>
      <c r="BR16" s="158"/>
      <c r="BS16" s="6"/>
      <c r="BT16" s="6"/>
      <c r="BV16" s="43">
        <v>1</v>
      </c>
    </row>
    <row r="17" spans="2:84" ht="25.05" customHeight="1" thickBot="1" x14ac:dyDescent="0.4">
      <c r="B17" s="53" t="s">
        <v>95</v>
      </c>
      <c r="C17" s="54">
        <f>E5+1</f>
        <v>1</v>
      </c>
      <c r="D17" s="87"/>
      <c r="E17" s="87"/>
      <c r="F17" s="87"/>
      <c r="G17" s="87"/>
      <c r="H17" s="56"/>
      <c r="I17" s="68"/>
      <c r="J17" s="447" t="s">
        <v>163</v>
      </c>
      <c r="K17" s="379"/>
      <c r="L17" s="379"/>
      <c r="M17" s="352"/>
      <c r="N17" s="5"/>
      <c r="O17" s="9"/>
      <c r="R17" s="239"/>
      <c r="S17" s="16"/>
      <c r="T17" s="263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8"/>
      <c r="AU17" s="338"/>
      <c r="AV17" s="338"/>
      <c r="AW17" s="338"/>
      <c r="AX17" s="5"/>
      <c r="AY17" s="5"/>
      <c r="AZ17" s="157" t="s">
        <v>224</v>
      </c>
      <c r="BA17" s="157"/>
      <c r="BB17" s="157"/>
      <c r="BC17" s="115">
        <v>5400</v>
      </c>
      <c r="BD17" s="157"/>
      <c r="BE17" s="115"/>
      <c r="BF17" s="115"/>
      <c r="BG17" s="115"/>
      <c r="BH17" s="115"/>
      <c r="BI17" s="115"/>
      <c r="BJ17" s="115"/>
      <c r="BK17" s="115"/>
      <c r="BL17" s="115"/>
      <c r="BM17" s="158"/>
      <c r="BN17" s="158"/>
      <c r="BO17" s="158"/>
      <c r="BP17" s="158"/>
      <c r="BQ17" s="158"/>
      <c r="BR17" s="158"/>
      <c r="BS17" s="6"/>
      <c r="BT17" s="6"/>
      <c r="BV17" s="43">
        <v>2</v>
      </c>
      <c r="CF17" s="1"/>
    </row>
    <row r="18" spans="2:84" ht="25.05" customHeight="1" x14ac:dyDescent="0.3">
      <c r="B18" s="58"/>
      <c r="C18" s="59"/>
      <c r="D18" s="59"/>
      <c r="E18" s="59"/>
      <c r="F18" s="59"/>
      <c r="G18" s="59"/>
      <c r="H18" s="60"/>
      <c r="J18" s="373" t="s">
        <v>0</v>
      </c>
      <c r="K18" s="374"/>
      <c r="L18" s="374"/>
      <c r="M18" s="374"/>
      <c r="N18" s="351" t="s">
        <v>1</v>
      </c>
      <c r="O18" s="203" t="s">
        <v>7</v>
      </c>
      <c r="P18" s="114"/>
      <c r="Q18" s="114"/>
      <c r="R18" s="222" t="s">
        <v>19</v>
      </c>
      <c r="S18" s="114"/>
      <c r="T18" s="97"/>
      <c r="U18" s="334"/>
      <c r="V18" s="334"/>
      <c r="W18" s="334"/>
      <c r="X18" s="334"/>
      <c r="Y18" s="334"/>
      <c r="Z18" s="334"/>
      <c r="AA18" s="334"/>
      <c r="AB18" s="334"/>
      <c r="AC18" s="334"/>
      <c r="AD18" s="334"/>
      <c r="AE18" s="334"/>
      <c r="AF18" s="334"/>
      <c r="AG18" s="335"/>
      <c r="AH18" s="257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5"/>
      <c r="AY18" s="5"/>
      <c r="AZ18" s="86">
        <v>1000</v>
      </c>
      <c r="BA18" s="86">
        <v>1250</v>
      </c>
      <c r="BB18" s="86">
        <v>1800</v>
      </c>
      <c r="BC18" s="86">
        <v>2000</v>
      </c>
      <c r="BD18" s="86">
        <v>2500</v>
      </c>
      <c r="BE18" s="86">
        <v>2700</v>
      </c>
      <c r="BF18" s="86">
        <v>3000</v>
      </c>
      <c r="BG18" s="86">
        <v>3600</v>
      </c>
      <c r="BH18" s="86">
        <v>3750</v>
      </c>
      <c r="BI18" s="86">
        <v>4000</v>
      </c>
      <c r="BJ18" s="86">
        <v>5000</v>
      </c>
      <c r="BK18" s="116">
        <v>5400</v>
      </c>
      <c r="BL18" s="159"/>
      <c r="BM18" s="158"/>
      <c r="BN18" s="158"/>
      <c r="BO18" s="158"/>
      <c r="BP18" s="158"/>
      <c r="BQ18" s="158"/>
      <c r="BR18" s="158"/>
      <c r="BS18" s="6"/>
      <c r="BT18" s="6"/>
      <c r="BV18" s="43">
        <v>3</v>
      </c>
      <c r="CF18" s="1"/>
    </row>
    <row r="19" spans="2:84" ht="25.05" customHeight="1" x14ac:dyDescent="0.3">
      <c r="B19" s="58"/>
      <c r="C19" s="59"/>
      <c r="D19" s="59"/>
      <c r="E19" s="59"/>
      <c r="F19" s="59"/>
      <c r="G19" s="59"/>
      <c r="H19" s="60"/>
      <c r="J19" s="444" t="s">
        <v>66</v>
      </c>
      <c r="K19" s="445"/>
      <c r="L19" s="445"/>
      <c r="M19" s="445"/>
      <c r="N19" s="202" t="s">
        <v>182</v>
      </c>
      <c r="O19" s="242">
        <f>IF(E9=BV33,E8,0)</f>
        <v>0</v>
      </c>
      <c r="P19" s="231"/>
      <c r="Q19" s="231"/>
      <c r="R19" s="243">
        <f>O19*Цены!J156</f>
        <v>0</v>
      </c>
      <c r="S19" s="233"/>
      <c r="T19" s="261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34"/>
      <c r="AH19" s="234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5"/>
      <c r="AY19" s="5"/>
      <c r="AZ19" s="115">
        <v>0</v>
      </c>
      <c r="BA19" s="115">
        <v>0</v>
      </c>
      <c r="BB19" s="115">
        <v>0</v>
      </c>
      <c r="BC19" s="115">
        <v>0</v>
      </c>
      <c r="BD19" s="115">
        <v>0</v>
      </c>
      <c r="BE19" s="115">
        <v>0</v>
      </c>
      <c r="BF19" s="115">
        <v>0</v>
      </c>
      <c r="BG19" s="115">
        <v>0</v>
      </c>
      <c r="BH19" s="115">
        <v>0</v>
      </c>
      <c r="BI19" s="115">
        <v>0</v>
      </c>
      <c r="BJ19" s="115">
        <v>0</v>
      </c>
      <c r="BK19" s="264">
        <f>BK9</f>
        <v>2</v>
      </c>
      <c r="BL19" s="157"/>
      <c r="BM19" s="115"/>
      <c r="BN19" s="115"/>
      <c r="BO19" s="115"/>
      <c r="BP19" s="160"/>
      <c r="BQ19" s="160"/>
      <c r="BR19" s="160"/>
      <c r="BS19" s="118"/>
      <c r="BT19" s="118"/>
      <c r="BV19" s="43">
        <v>4</v>
      </c>
      <c r="CF19" s="1"/>
    </row>
    <row r="20" spans="2:84" ht="25.05" customHeight="1" x14ac:dyDescent="0.3">
      <c r="B20" s="61" t="s">
        <v>96</v>
      </c>
      <c r="C20" s="274" t="s">
        <v>97</v>
      </c>
      <c r="D20" s="62" t="s">
        <v>73</v>
      </c>
      <c r="E20" s="274" t="s">
        <v>98</v>
      </c>
      <c r="F20" s="274" t="s">
        <v>99</v>
      </c>
      <c r="G20" s="274" t="s">
        <v>114</v>
      </c>
      <c r="H20" s="63" t="s">
        <v>115</v>
      </c>
      <c r="J20" s="417" t="s">
        <v>134</v>
      </c>
      <c r="K20" s="418"/>
      <c r="L20" s="418"/>
      <c r="M20" s="418"/>
      <c r="N20" s="202" t="s">
        <v>184</v>
      </c>
      <c r="O20" s="347">
        <f>IF(E9=BV34,E8,0)</f>
        <v>0</v>
      </c>
      <c r="P20" s="210"/>
      <c r="Q20" s="210"/>
      <c r="R20" s="243">
        <f>O20*Цены!J174</f>
        <v>0</v>
      </c>
      <c r="S20" s="233"/>
      <c r="T20" s="261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334"/>
      <c r="AH20" s="332"/>
      <c r="AI20" s="340"/>
      <c r="AJ20" s="340"/>
      <c r="AK20" s="340"/>
      <c r="AL20" s="340"/>
      <c r="AM20" s="340"/>
      <c r="AN20" s="340"/>
      <c r="AO20" s="340"/>
      <c r="AP20" s="340"/>
      <c r="AQ20" s="340"/>
      <c r="AR20" s="340"/>
      <c r="AS20" s="340"/>
      <c r="AT20" s="340"/>
      <c r="AU20" s="340"/>
      <c r="AV20" s="340"/>
      <c r="AW20" s="340"/>
      <c r="AX20" s="5"/>
      <c r="AY20" s="5"/>
      <c r="AZ20" s="117">
        <v>0</v>
      </c>
      <c r="BA20" s="115">
        <f>IF(AND(BL20&gt;0,BL20&lt;=1250),1,0)</f>
        <v>0</v>
      </c>
      <c r="BB20" s="117">
        <v>0</v>
      </c>
      <c r="BC20" s="117">
        <v>0</v>
      </c>
      <c r="BD20" s="115">
        <f>IF(AND(BL20&gt;1250,BL20&lt;=2500),1,0)</f>
        <v>1</v>
      </c>
      <c r="BE20" s="117">
        <v>0</v>
      </c>
      <c r="BF20" s="117">
        <v>0</v>
      </c>
      <c r="BG20" s="117">
        <v>0</v>
      </c>
      <c r="BH20" s="115">
        <f>IF(AND(BL20&gt;2500,BL20&lt;=3750),1,0)</f>
        <v>0</v>
      </c>
      <c r="BI20" s="117">
        <v>0</v>
      </c>
      <c r="BJ20" s="115">
        <f>IF(AND(BL20&gt;4000,BL20&lt;=4950),BM20+1,BM20)</f>
        <v>0</v>
      </c>
      <c r="BK20" s="117">
        <v>0</v>
      </c>
      <c r="BL20" s="157">
        <f>BL10</f>
        <v>2152</v>
      </c>
      <c r="BM20" s="157">
        <f>BM10</f>
        <v>0</v>
      </c>
      <c r="BN20" s="115"/>
      <c r="BO20" s="115"/>
      <c r="BP20" s="160"/>
      <c r="BQ20" s="160" t="s">
        <v>225</v>
      </c>
      <c r="BR20" s="161" t="s">
        <v>226</v>
      </c>
      <c r="BS20" s="126"/>
      <c r="BT20" s="126"/>
    </row>
    <row r="21" spans="2:84" ht="25.05" customHeight="1" x14ac:dyDescent="0.3">
      <c r="B21" s="64" t="s">
        <v>100</v>
      </c>
      <c r="C21" s="13" t="s">
        <v>11</v>
      </c>
      <c r="D21" s="85">
        <v>0</v>
      </c>
      <c r="E21" s="14">
        <f>K4-IF(E25=0,0,IF(C25=BV8,E25,IF(C25=BV9,E25+2,E25+3)))-IF(E24=0,0,IF(C24=BV8,E24,IF(C24=BV9,E24+2,E24+3)))-IF(E23=0,0,IF(C23=BV8,E23,IF(C23=BV9,E23+2,E23+3)))-IF(E22=0,0,IF(C22=BV8,E22,IF(C22=BV9,E22+2,E22+3)))-44-IF(C21=BV9,2,IF(C21=BV10,3,0))-E5*CA4</f>
        <v>2533</v>
      </c>
      <c r="F21" s="65">
        <f>IF(C21=$BV$10,$K$5-39,IF(C21=$BV$9,$K$5-38,$K$5-36))</f>
        <v>551</v>
      </c>
      <c r="G21" s="66">
        <f>$E$8</f>
        <v>2</v>
      </c>
      <c r="H21" s="67">
        <f>E21*F21*D21*G21/1000000</f>
        <v>0</v>
      </c>
      <c r="J21" s="417" t="s">
        <v>136</v>
      </c>
      <c r="K21" s="418"/>
      <c r="L21" s="418"/>
      <c r="M21" s="418"/>
      <c r="N21" s="202" t="s">
        <v>183</v>
      </c>
      <c r="O21" s="347">
        <f>IF(E9=BV35,E8,0)</f>
        <v>2</v>
      </c>
      <c r="P21" s="210"/>
      <c r="Q21" s="210"/>
      <c r="R21" s="243">
        <f>O21*Цены!J175</f>
        <v>166.4</v>
      </c>
      <c r="S21" s="233"/>
      <c r="T21" s="261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334"/>
      <c r="AH21" s="332"/>
      <c r="AI21" s="340"/>
      <c r="AJ21" s="340"/>
      <c r="AK21" s="340"/>
      <c r="AL21" s="340"/>
      <c r="AM21" s="340"/>
      <c r="AN21" s="340"/>
      <c r="AO21" s="340"/>
      <c r="AP21" s="340"/>
      <c r="AQ21" s="340"/>
      <c r="AR21" s="340"/>
      <c r="AS21" s="340"/>
      <c r="AT21" s="340"/>
      <c r="AU21" s="340"/>
      <c r="AV21" s="340"/>
      <c r="AW21" s="340"/>
      <c r="AX21" s="5"/>
      <c r="AY21" s="5"/>
      <c r="AZ21" s="117">
        <v>0</v>
      </c>
      <c r="BA21" s="162">
        <f>IF(AND(J11=BY5,BL21&gt;0,BL21&lt;=1250),1,0)</f>
        <v>0</v>
      </c>
      <c r="BB21" s="163">
        <f>IF(AND(J11=BY4,BO21&gt;0,BO21&lt;=1800),1,0)</f>
        <v>0</v>
      </c>
      <c r="BC21" s="117">
        <v>0</v>
      </c>
      <c r="BD21" s="162">
        <f>IF(AND(J11=BY5,BL21&gt;1250,BL21&lt;=2500),1,0)</f>
        <v>0</v>
      </c>
      <c r="BE21" s="163">
        <f>IF(AND(J11=BY4,BO21&gt;1800,BO21&lt;=2700),1,0)</f>
        <v>0</v>
      </c>
      <c r="BF21" s="117">
        <v>0</v>
      </c>
      <c r="BG21" s="163">
        <f>IF(AND(J11=BY4,BO21&gt;2700,BO21&lt;=3600),1,0)</f>
        <v>0</v>
      </c>
      <c r="BH21" s="162">
        <f>IF(AND(J11=BY5,BL21&gt;2500,BL21&lt;=3750),1,0)</f>
        <v>0</v>
      </c>
      <c r="BI21" s="117">
        <v>0</v>
      </c>
      <c r="BJ21" s="162">
        <f>IF(AND(J11=BY5,BL21&gt;4000,BL21&lt;=4950),BM21+1,BM21)</f>
        <v>0</v>
      </c>
      <c r="BK21" s="163">
        <f>IF(AND(J11=BY4,BO21&gt;3600,BO21&lt;=5350),BP21+1,BP21)</f>
        <v>0</v>
      </c>
      <c r="BL21" s="157">
        <f>BL11</f>
        <v>0</v>
      </c>
      <c r="BM21" s="157">
        <f>BM11</f>
        <v>0</v>
      </c>
      <c r="BN21" s="157"/>
      <c r="BO21" s="157">
        <f>BO11</f>
        <v>0</v>
      </c>
      <c r="BP21" s="157">
        <f>BP11</f>
        <v>0</v>
      </c>
      <c r="BQ21" s="160">
        <f>(V21*0.25+Y21*0.5+AC21*0.75+AE21)*BT11</f>
        <v>0</v>
      </c>
      <c r="BR21" s="160">
        <f>(W21*0.34+Z21*0.5+AB21*0.67+AF21)*BT11</f>
        <v>0</v>
      </c>
      <c r="BS21" s="118"/>
      <c r="BT21" s="118"/>
      <c r="BV21" s="70" t="s">
        <v>106</v>
      </c>
      <c r="CE21" s="1" t="s">
        <v>375</v>
      </c>
    </row>
    <row r="22" spans="2:84" ht="25.05" customHeight="1" x14ac:dyDescent="0.3">
      <c r="B22" s="64" t="s">
        <v>101</v>
      </c>
      <c r="C22" s="13" t="s">
        <v>9</v>
      </c>
      <c r="D22" s="85">
        <v>0</v>
      </c>
      <c r="E22" s="15">
        <v>0</v>
      </c>
      <c r="F22" s="65">
        <f>IF(C22=$BV$10,$K$5-39,IF(C22=$BV$9,$K$5-38,$K$5-36))</f>
        <v>554</v>
      </c>
      <c r="G22" s="66">
        <f>IF(E22&lt;&gt;0,$E$8,0)</f>
        <v>0</v>
      </c>
      <c r="H22" s="67">
        <f t="shared" ref="H22:H25" si="20">E22*F22*D22*G22/1000000</f>
        <v>0</v>
      </c>
      <c r="J22" s="444" t="s">
        <v>35</v>
      </c>
      <c r="K22" s="445"/>
      <c r="L22" s="445"/>
      <c r="M22" s="445"/>
      <c r="N22" s="202" t="s">
        <v>185</v>
      </c>
      <c r="O22" s="195">
        <f>IF(E12&lt;500,2*E8,E8*ROUNDDOWN((E12/500+1),0))*E13</f>
        <v>8</v>
      </c>
      <c r="P22" s="211"/>
      <c r="Q22" s="211"/>
      <c r="R22" s="243">
        <f>O22*Цены!J100</f>
        <v>3570.96</v>
      </c>
      <c r="S22" s="233"/>
      <c r="T22" s="261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334"/>
      <c r="AH22" s="332"/>
      <c r="AI22" s="340"/>
      <c r="AJ22" s="340"/>
      <c r="AK22" s="340"/>
      <c r="AL22" s="340"/>
      <c r="AM22" s="340"/>
      <c r="AN22" s="340"/>
      <c r="AO22" s="340"/>
      <c r="AP22" s="340"/>
      <c r="AQ22" s="340"/>
      <c r="AR22" s="340"/>
      <c r="AS22" s="340"/>
      <c r="AT22" s="340"/>
      <c r="AU22" s="340"/>
      <c r="AV22" s="340"/>
      <c r="AW22" s="340"/>
      <c r="AX22" s="5"/>
      <c r="AY22" s="5"/>
      <c r="AZ22" s="164">
        <v>0</v>
      </c>
      <c r="BA22" s="164">
        <v>0</v>
      </c>
      <c r="BB22" s="164">
        <v>0</v>
      </c>
      <c r="BC22" s="164">
        <v>0</v>
      </c>
      <c r="BD22" s="164">
        <v>0</v>
      </c>
      <c r="BE22" s="115">
        <f>IF(AND(BO22&gt;0,BO22&lt;=2700),1,0)</f>
        <v>1</v>
      </c>
      <c r="BF22" s="164">
        <v>0</v>
      </c>
      <c r="BG22" s="164">
        <v>0</v>
      </c>
      <c r="BH22" s="164">
        <v>0</v>
      </c>
      <c r="BI22" s="164">
        <v>0</v>
      </c>
      <c r="BJ22" s="164">
        <v>0</v>
      </c>
      <c r="BK22" s="115">
        <f>IF(AND(BO22&gt;2700,BO22&lt;=5350),BP22+1,BP22)</f>
        <v>0</v>
      </c>
      <c r="BL22" s="157"/>
      <c r="BM22" s="157"/>
      <c r="BN22" s="157"/>
      <c r="BO22" s="157">
        <f>BO12</f>
        <v>2160</v>
      </c>
      <c r="BP22" s="157">
        <f>BP12</f>
        <v>0</v>
      </c>
      <c r="BQ22" s="157"/>
      <c r="BR22" s="157"/>
      <c r="BS22" s="5"/>
      <c r="BT22" s="5"/>
      <c r="BV22" s="70" t="s">
        <v>107</v>
      </c>
      <c r="BZ22" s="256">
        <f>IF(E21&lt;&gt;0,1,0)</f>
        <v>1</v>
      </c>
      <c r="CE22" s="1" t="s">
        <v>380</v>
      </c>
    </row>
    <row r="23" spans="2:84" ht="25.05" customHeight="1" x14ac:dyDescent="0.3">
      <c r="B23" s="64" t="s">
        <v>102</v>
      </c>
      <c r="C23" s="13" t="s">
        <v>9</v>
      </c>
      <c r="D23" s="85">
        <v>0</v>
      </c>
      <c r="E23" s="15">
        <v>0</v>
      </c>
      <c r="F23" s="65">
        <f>IF(C23=$BV$10,$K$5-39,IF(C23=$BV$9,$K$5-38,$K$5-36))</f>
        <v>554</v>
      </c>
      <c r="G23" s="66">
        <f>IF(E23&lt;&gt;0,$E$8,0)</f>
        <v>0</v>
      </c>
      <c r="H23" s="67">
        <f t="shared" si="20"/>
        <v>0</v>
      </c>
      <c r="J23" s="444" t="s">
        <v>39</v>
      </c>
      <c r="K23" s="445"/>
      <c r="L23" s="445"/>
      <c r="M23" s="445"/>
      <c r="N23" s="202" t="s">
        <v>186</v>
      </c>
      <c r="O23" s="242">
        <f>E8*E13</f>
        <v>4</v>
      </c>
      <c r="P23" s="231"/>
      <c r="Q23" s="231"/>
      <c r="R23" s="243">
        <f>O23*Цены!J104</f>
        <v>372.76</v>
      </c>
      <c r="S23" s="233"/>
      <c r="T23" s="233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237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  <c r="AU23" s="343"/>
      <c r="AV23" s="343"/>
      <c r="AW23" s="343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256">
        <f>IF(E22&lt;&gt;0,1,0)</f>
        <v>0</v>
      </c>
      <c r="CE23" s="1" t="s">
        <v>377</v>
      </c>
    </row>
    <row r="24" spans="2:84" ht="25.05" customHeight="1" x14ac:dyDescent="0.3">
      <c r="B24" s="64" t="s">
        <v>103</v>
      </c>
      <c r="C24" s="13" t="s">
        <v>11</v>
      </c>
      <c r="D24" s="85">
        <v>0</v>
      </c>
      <c r="E24" s="15">
        <v>0</v>
      </c>
      <c r="F24" s="65">
        <f>IF(C24=$BV$10,$K$5-39,IF(C24=$BV$9,$K$5-38,$K$5-36))</f>
        <v>551</v>
      </c>
      <c r="G24" s="66">
        <f>IF(E24&lt;&gt;0,$E$8,0)</f>
        <v>0</v>
      </c>
      <c r="H24" s="67">
        <f t="shared" si="20"/>
        <v>0</v>
      </c>
      <c r="J24" s="415" t="s">
        <v>198</v>
      </c>
      <c r="K24" s="416"/>
      <c r="L24" s="416"/>
      <c r="M24" s="416"/>
      <c r="N24" s="200" t="s">
        <v>174</v>
      </c>
      <c r="O24" s="195">
        <f>M10*2+M11*2</f>
        <v>8</v>
      </c>
      <c r="P24" s="211"/>
      <c r="Q24" s="211"/>
      <c r="R24" s="243">
        <f>O24*Цены!J184</f>
        <v>83.2</v>
      </c>
      <c r="S24" s="233"/>
      <c r="AZ24" s="5"/>
      <c r="BA24" s="5"/>
      <c r="BB24" s="5"/>
      <c r="BC24" s="5"/>
      <c r="BD24" s="5"/>
      <c r="BE24" s="204" t="s">
        <v>442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256">
        <f>IF(E23&lt;&gt;0,1,0)</f>
        <v>0</v>
      </c>
      <c r="CE24" s="1" t="s">
        <v>378</v>
      </c>
    </row>
    <row r="25" spans="2:84" ht="25.05" customHeight="1" thickBot="1" x14ac:dyDescent="0.35">
      <c r="B25" s="71" t="s">
        <v>104</v>
      </c>
      <c r="C25" s="13" t="s">
        <v>11</v>
      </c>
      <c r="D25" s="85">
        <v>0</v>
      </c>
      <c r="E25" s="15">
        <v>0</v>
      </c>
      <c r="F25" s="65">
        <f>IF(C25=$BV$10,$K$5-39,IF(C25=$BV$9,$K$5-38,$K$5-36))</f>
        <v>551</v>
      </c>
      <c r="G25" s="66">
        <f>IF(E25&lt;&gt;0,$E$8,0)</f>
        <v>0</v>
      </c>
      <c r="H25" s="106">
        <f t="shared" si="20"/>
        <v>0</v>
      </c>
      <c r="J25" s="444" t="s">
        <v>77</v>
      </c>
      <c r="K25" s="445"/>
      <c r="L25" s="445"/>
      <c r="M25" s="445"/>
      <c r="N25" s="200" t="s">
        <v>221</v>
      </c>
      <c r="O25" s="254">
        <f>ROUNDUP((IF(C21=BV9,(E21+F21)*2*G21,0)+IF(C22=BV9,(E22+F22)*2*G22,0)+IF(C23=BV9,(E23+F23)*2*G23,0)+IF(C24=BV9,(E24+F24)*2*G24,0)+IF(C25=BV9,(E25+F25)*2*G25,0))/1000,0)</f>
        <v>0</v>
      </c>
      <c r="P25" s="251"/>
      <c r="Q25" s="251"/>
      <c r="R25" s="243">
        <f>O25*Цены!J177</f>
        <v>0</v>
      </c>
      <c r="S25" s="233"/>
      <c r="T25" s="233"/>
      <c r="U25" s="5"/>
      <c r="V25" s="5"/>
      <c r="W25" s="5"/>
      <c r="X25" s="69"/>
      <c r="Y25" s="69"/>
      <c r="Z25" s="69"/>
      <c r="AA25" s="69"/>
      <c r="AB25" s="69"/>
      <c r="AC25" s="69"/>
      <c r="AD25" s="5"/>
      <c r="AE25" s="5"/>
      <c r="AF25" s="5"/>
      <c r="AG25" s="5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5"/>
      <c r="AY25" s="5"/>
      <c r="BS25" s="5"/>
      <c r="BT25" s="5"/>
      <c r="BV25" s="1" t="s">
        <v>75</v>
      </c>
      <c r="BZ25" s="256">
        <f>IF(E24&lt;&gt;0,1,0)</f>
        <v>0</v>
      </c>
      <c r="CE25" s="1" t="s">
        <v>379</v>
      </c>
    </row>
    <row r="26" spans="2:84" ht="25.05" customHeight="1" thickBot="1" x14ac:dyDescent="0.35">
      <c r="B26" s="58"/>
      <c r="C26" s="59"/>
      <c r="D26" s="59"/>
      <c r="E26" s="365" t="s">
        <v>74</v>
      </c>
      <c r="F26" s="365"/>
      <c r="G26" s="365"/>
      <c r="H26" s="269">
        <f>SUM(H21:H25)</f>
        <v>0</v>
      </c>
      <c r="J26" s="417" t="s">
        <v>79</v>
      </c>
      <c r="K26" s="418"/>
      <c r="L26" s="418"/>
      <c r="M26" s="418"/>
      <c r="N26" s="200" t="s">
        <v>175</v>
      </c>
      <c r="O26" s="254">
        <f>ROUNDUP((IF(C21=BV10,(E21+F21)*2*G21,0)+IF(C22=BV10,(E22+F22)*2*G22,0)+IF(C23=BV10,(E23+F23)*2*G23,0)+IF(C24=BV10,(E24+F24)*2*G24,0)+IF(C25=BV10,(E25+F25)*2*G25,0))/1000,0)</f>
        <v>13</v>
      </c>
      <c r="P26" s="251"/>
      <c r="Q26" s="251"/>
      <c r="R26" s="243">
        <f>O26*Цены!J178</f>
        <v>576.29</v>
      </c>
      <c r="S26" s="233"/>
      <c r="T26" s="233"/>
      <c r="V26" s="268"/>
      <c r="W26" s="268"/>
      <c r="X26" s="268"/>
      <c r="Y26" s="268"/>
      <c r="Z26" s="268"/>
      <c r="AA26" s="268"/>
      <c r="AB26" s="268"/>
      <c r="AX26" s="5"/>
      <c r="AY26" s="5"/>
      <c r="AZ26" s="115" t="s">
        <v>222</v>
      </c>
      <c r="BA26" s="115"/>
      <c r="BB26" s="115"/>
      <c r="BC26" s="157">
        <v>5000</v>
      </c>
      <c r="BD26" s="157"/>
      <c r="BE26" s="157"/>
      <c r="BF26" s="157"/>
      <c r="BG26" s="157"/>
      <c r="BH26" s="157"/>
      <c r="BI26" s="157"/>
      <c r="BJ26" s="157"/>
      <c r="BK26" s="157"/>
      <c r="BL26" s="157"/>
      <c r="BM26" s="158"/>
      <c r="BN26" s="158"/>
      <c r="BO26" s="158"/>
      <c r="BP26" s="158"/>
      <c r="BQ26" s="158"/>
      <c r="BR26" s="158"/>
      <c r="BS26" s="5"/>
      <c r="BT26" s="5"/>
      <c r="BV26" s="73" t="s">
        <v>145</v>
      </c>
      <c r="BZ26" s="256">
        <f>IF(E25&lt;&gt;0,1,0)</f>
        <v>0</v>
      </c>
      <c r="CE26" s="1" t="s">
        <v>376</v>
      </c>
    </row>
    <row r="27" spans="2:84" ht="25.05" customHeight="1" x14ac:dyDescent="0.3">
      <c r="B27" s="58"/>
      <c r="C27" s="437" t="str">
        <f>IF((SUM(BZ22:BZ26)/C17)&lt;&gt;1,BV21,BV22)</f>
        <v>Верно внесены высоты вставок</v>
      </c>
      <c r="D27" s="437"/>
      <c r="E27" s="275">
        <f>IF(C27=BV22,1,0)</f>
        <v>1</v>
      </c>
      <c r="F27" s="275"/>
      <c r="G27" s="275"/>
      <c r="H27" s="60"/>
      <c r="J27" s="444" t="s">
        <v>75</v>
      </c>
      <c r="K27" s="445"/>
      <c r="L27" s="445"/>
      <c r="M27" s="445"/>
      <c r="N27" s="200" t="s">
        <v>176</v>
      </c>
      <c r="O27" s="195">
        <f>IF(E10=BV25,O24,0)</f>
        <v>0</v>
      </c>
      <c r="P27" s="211"/>
      <c r="Q27" s="211"/>
      <c r="R27" s="243">
        <f>O27*Цены!J171</f>
        <v>0</v>
      </c>
      <c r="S27" s="233"/>
      <c r="T27" s="233"/>
      <c r="U27" s="5"/>
      <c r="V27" s="5"/>
      <c r="W27" s="5"/>
      <c r="X27" s="69"/>
      <c r="Y27" s="69"/>
      <c r="Z27" s="69"/>
      <c r="AA27" s="69"/>
      <c r="AB27" s="69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5"/>
      <c r="AY27" s="48" t="s">
        <v>229</v>
      </c>
      <c r="AZ27" s="115" t="s">
        <v>223</v>
      </c>
      <c r="BA27" s="115"/>
      <c r="BB27" s="115"/>
      <c r="BC27" s="115">
        <v>5075</v>
      </c>
      <c r="BD27" s="157"/>
      <c r="BE27" s="115"/>
      <c r="BF27" s="115"/>
      <c r="BG27" s="115"/>
      <c r="BH27" s="115"/>
      <c r="BI27" s="115"/>
      <c r="BJ27" s="115"/>
      <c r="BK27" s="115"/>
      <c r="BL27" s="115"/>
      <c r="BM27" s="158"/>
      <c r="BN27" s="158"/>
      <c r="BO27" s="158"/>
      <c r="BP27" s="158"/>
      <c r="BQ27" s="158"/>
      <c r="BR27" s="158"/>
      <c r="BS27" s="5"/>
      <c r="BT27" s="5"/>
      <c r="BV27" s="73" t="s">
        <v>116</v>
      </c>
      <c r="CE27" s="1" t="s">
        <v>445</v>
      </c>
    </row>
    <row r="28" spans="2:84" ht="25.05" customHeight="1" x14ac:dyDescent="0.3">
      <c r="B28" s="58"/>
      <c r="C28" s="59"/>
      <c r="D28" s="59"/>
      <c r="E28" s="59"/>
      <c r="F28" s="59"/>
      <c r="G28" s="59"/>
      <c r="H28" s="60"/>
      <c r="J28" s="415" t="s">
        <v>150</v>
      </c>
      <c r="K28" s="416"/>
      <c r="L28" s="416"/>
      <c r="M28" s="416"/>
      <c r="N28" s="201" t="s">
        <v>177</v>
      </c>
      <c r="O28" s="280">
        <f>IF(E10=BV26,O24,0)</f>
        <v>0</v>
      </c>
      <c r="P28" s="210"/>
      <c r="Q28" s="210"/>
      <c r="R28" s="223">
        <f>O28*Цены!J132</f>
        <v>0</v>
      </c>
      <c r="S28" s="233"/>
      <c r="T28" s="233"/>
      <c r="U28" s="5"/>
      <c r="V28" s="5"/>
      <c r="W28" s="5"/>
      <c r="X28" s="69"/>
      <c r="Y28" s="69"/>
      <c r="Z28" s="69"/>
      <c r="AA28" s="69"/>
      <c r="AB28" s="69"/>
      <c r="AC28" s="69"/>
      <c r="AD28" s="5"/>
      <c r="AE28" s="5"/>
      <c r="AF28" s="5"/>
      <c r="AG28" s="5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5"/>
      <c r="AY28" s="120">
        <f>IF(C21=$BV$8,(F21*E21/1000000)*8,IF(C21=$BV$9,(F21*E21/1000000)*6.5,(F21*E21/1000000)*11))</f>
        <v>15.352513</v>
      </c>
      <c r="AZ28" s="157" t="s">
        <v>224</v>
      </c>
      <c r="BA28" s="157"/>
      <c r="BB28" s="157"/>
      <c r="BC28" s="115">
        <v>5400</v>
      </c>
      <c r="BD28" s="157"/>
      <c r="BE28" s="115"/>
      <c r="BF28" s="115"/>
      <c r="BG28" s="115"/>
      <c r="BH28" s="115"/>
      <c r="BI28" s="115"/>
      <c r="BJ28" s="115"/>
      <c r="BK28" s="115"/>
      <c r="BL28" s="115"/>
      <c r="BM28" s="158"/>
      <c r="BN28" s="158"/>
      <c r="BO28" s="158"/>
      <c r="BP28" s="158"/>
      <c r="BQ28" s="158"/>
      <c r="BR28" s="158"/>
      <c r="BS28" s="5"/>
      <c r="BT28" s="5"/>
      <c r="BV28" s="1" t="s">
        <v>71</v>
      </c>
      <c r="CE28" s="1" t="s">
        <v>443</v>
      </c>
    </row>
    <row r="29" spans="2:84" ht="25.05" customHeight="1" x14ac:dyDescent="0.3">
      <c r="B29" s="58"/>
      <c r="C29" s="74"/>
      <c r="D29" s="74"/>
      <c r="E29" s="75"/>
      <c r="F29" s="75"/>
      <c r="G29" s="75"/>
      <c r="H29" s="60"/>
      <c r="J29" s="413" t="s">
        <v>71</v>
      </c>
      <c r="K29" s="414"/>
      <c r="L29" s="414"/>
      <c r="M29" s="414"/>
      <c r="N29" s="199" t="s">
        <v>178</v>
      </c>
      <c r="O29" s="198">
        <f>IF(E10=BV28,ROUNDUP(L9*M9/1000,0),0)</f>
        <v>0</v>
      </c>
      <c r="P29" s="214"/>
      <c r="Q29" s="214"/>
      <c r="R29" s="223">
        <f>O29*Цены!J161</f>
        <v>0</v>
      </c>
      <c r="S29" s="205"/>
      <c r="T29" s="205"/>
      <c r="U29" s="5"/>
      <c r="V29" s="5"/>
      <c r="W29" s="5"/>
      <c r="X29" s="69"/>
      <c r="Y29" s="69"/>
      <c r="Z29" s="69"/>
      <c r="AA29" s="69"/>
      <c r="AB29" s="69"/>
      <c r="AC29" s="69"/>
      <c r="AD29" s="5"/>
      <c r="AE29" s="5"/>
      <c r="AF29" s="5"/>
      <c r="AG29" s="5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5"/>
      <c r="AY29" s="120">
        <f>IF(C22=$BV$8,(F22*E22/1000000)*8,IF(C22=$BV$9,(F22*E22/1000000)*6.5,(F22*E22/1000000)*11))</f>
        <v>0</v>
      </c>
      <c r="AZ29" s="86">
        <v>1000</v>
      </c>
      <c r="BA29" s="86">
        <v>1250</v>
      </c>
      <c r="BB29" s="86">
        <v>1800</v>
      </c>
      <c r="BC29" s="86">
        <v>2000</v>
      </c>
      <c r="BD29" s="86">
        <v>2500</v>
      </c>
      <c r="BE29" s="86">
        <v>2700</v>
      </c>
      <c r="BF29" s="86">
        <v>3000</v>
      </c>
      <c r="BG29" s="86">
        <v>3600</v>
      </c>
      <c r="BH29" s="86">
        <v>3750</v>
      </c>
      <c r="BI29" s="86">
        <v>4000</v>
      </c>
      <c r="BJ29" s="86">
        <v>5000</v>
      </c>
      <c r="BK29" s="116">
        <v>5400</v>
      </c>
      <c r="BL29" s="159"/>
      <c r="BM29" s="158"/>
      <c r="BN29" s="158"/>
      <c r="BO29" s="158"/>
      <c r="BP29" s="158"/>
      <c r="BQ29" s="158"/>
      <c r="BR29" s="158"/>
      <c r="BS29" s="5"/>
      <c r="BT29" s="5"/>
    </row>
    <row r="30" spans="2:84" ht="25.05" customHeight="1" x14ac:dyDescent="0.3">
      <c r="B30" s="58"/>
      <c r="C30" s="59"/>
      <c r="D30" s="59"/>
      <c r="E30" s="59"/>
      <c r="F30" s="59"/>
      <c r="G30" s="5"/>
      <c r="H30" s="9"/>
      <c r="J30" s="413" t="s">
        <v>116</v>
      </c>
      <c r="K30" s="414"/>
      <c r="L30" s="414"/>
      <c r="M30" s="414"/>
      <c r="N30" s="199" t="s">
        <v>179</v>
      </c>
      <c r="O30" s="198">
        <f>IF(E10=BV27,ROUNDUP(L9*M9/1000,0),0)</f>
        <v>11</v>
      </c>
      <c r="P30" s="214"/>
      <c r="Q30" s="214"/>
      <c r="R30" s="223">
        <f>O30*Цены!J180</f>
        <v>289.52</v>
      </c>
      <c r="S30" s="205"/>
      <c r="T30" s="205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5"/>
      <c r="AY30" s="120">
        <f>IF(C23=$BV$8,(F23*E23/1000000)*8,IF(C23=$BV$9,(F23*E23/1000000)*6.5,(F23*E23/1000000)*11))</f>
        <v>0</v>
      </c>
      <c r="AZ30" s="115">
        <v>0</v>
      </c>
      <c r="BA30" s="115">
        <v>0</v>
      </c>
      <c r="BB30" s="115">
        <v>0</v>
      </c>
      <c r="BC30" s="115">
        <v>0</v>
      </c>
      <c r="BD30" s="115">
        <v>0</v>
      </c>
      <c r="BE30" s="115">
        <v>0</v>
      </c>
      <c r="BF30" s="115">
        <v>0</v>
      </c>
      <c r="BG30" s="115">
        <v>0</v>
      </c>
      <c r="BH30" s="115">
        <v>0</v>
      </c>
      <c r="BI30" s="115">
        <v>0</v>
      </c>
      <c r="BJ30" s="115">
        <v>0</v>
      </c>
      <c r="BK30" s="264">
        <f>BK19</f>
        <v>2</v>
      </c>
      <c r="BL30" s="157"/>
      <c r="BM30" s="115"/>
      <c r="BN30" s="115"/>
      <c r="BO30" s="115"/>
      <c r="BP30" s="160"/>
      <c r="BQ30" s="160"/>
      <c r="BR30" s="160"/>
      <c r="BS30" s="5"/>
      <c r="BT30" s="5"/>
      <c r="BV30" s="70" t="s">
        <v>105</v>
      </c>
    </row>
    <row r="31" spans="2:84" ht="25.05" customHeight="1" x14ac:dyDescent="0.3">
      <c r="B31" s="58"/>
      <c r="C31" s="436" t="str">
        <f>IF(AND(SUM(BZ22:BZ26)/C17=1,E25=0,C17&lt;&gt;1),BV42,BV43)</f>
        <v xml:space="preserve"> </v>
      </c>
      <c r="D31" s="436"/>
      <c r="E31" s="75"/>
      <c r="F31" s="75"/>
      <c r="G31" s="75"/>
      <c r="H31" s="9"/>
      <c r="J31" s="413" t="s">
        <v>147</v>
      </c>
      <c r="K31" s="414"/>
      <c r="L31" s="414"/>
      <c r="M31" s="414"/>
      <c r="N31" s="249" t="s">
        <v>180</v>
      </c>
      <c r="O31" s="196">
        <f>IF(O30&gt;0,M9*2,0)</f>
        <v>8</v>
      </c>
      <c r="P31" s="212"/>
      <c r="Q31" s="212"/>
      <c r="R31" s="223">
        <f>O31*Цены!J176</f>
        <v>143.68</v>
      </c>
      <c r="S31" s="205"/>
      <c r="T31" s="205"/>
      <c r="AX31" s="5"/>
      <c r="AY31" s="120">
        <f>IF(C24=$BV$8,(F24*E24/1000000)*8,IF(C24=$BV$9,(F24*E24/1000000)*6.5,(F24*E24/1000000)*11))</f>
        <v>0</v>
      </c>
      <c r="AZ31" s="117">
        <v>0</v>
      </c>
      <c r="BA31" s="117">
        <v>0</v>
      </c>
      <c r="BB31" s="117">
        <v>0</v>
      </c>
      <c r="BC31" s="117">
        <v>0</v>
      </c>
      <c r="BD31" s="115">
        <f>IF(AND(BL31&gt;0,BL31&lt;=2500),1,0)</f>
        <v>1</v>
      </c>
      <c r="BE31" s="117">
        <v>0</v>
      </c>
      <c r="BF31" s="117">
        <v>0</v>
      </c>
      <c r="BG31" s="117">
        <v>0</v>
      </c>
      <c r="BH31" s="117">
        <v>0</v>
      </c>
      <c r="BI31" s="117">
        <v>0</v>
      </c>
      <c r="BJ31" s="115">
        <f>IF(AND(BL31&gt;2500,BL31&lt;=4950),BM31+1,BM31)</f>
        <v>0</v>
      </c>
      <c r="BK31" s="117">
        <v>0</v>
      </c>
      <c r="BL31" s="157">
        <f>BL20</f>
        <v>2152</v>
      </c>
      <c r="BM31" s="157">
        <f t="shared" ref="BM31:BR31" si="21">BM20</f>
        <v>0</v>
      </c>
      <c r="BN31" s="157">
        <f t="shared" si="21"/>
        <v>0</v>
      </c>
      <c r="BO31" s="157">
        <f t="shared" si="21"/>
        <v>0</v>
      </c>
      <c r="BP31" s="157">
        <f t="shared" si="21"/>
        <v>0</v>
      </c>
      <c r="BQ31" s="157" t="str">
        <f t="shared" si="21"/>
        <v>Цена 4в1</v>
      </c>
      <c r="BR31" s="157" t="str">
        <f t="shared" si="21"/>
        <v>Цена стандарт</v>
      </c>
      <c r="BS31" s="5"/>
      <c r="BT31" s="5"/>
      <c r="BV31" s="70" t="s">
        <v>82</v>
      </c>
    </row>
    <row r="32" spans="2:84" ht="25.05" customHeight="1" thickBot="1" x14ac:dyDescent="0.35">
      <c r="B32" s="58"/>
      <c r="C32" s="59"/>
      <c r="D32" s="59"/>
      <c r="E32" s="59"/>
      <c r="F32" s="59"/>
      <c r="G32" s="59"/>
      <c r="H32" s="9"/>
      <c r="J32" s="413" t="s">
        <v>160</v>
      </c>
      <c r="K32" s="414"/>
      <c r="L32" s="414"/>
      <c r="M32" s="414"/>
      <c r="N32" s="200" t="s">
        <v>187</v>
      </c>
      <c r="O32" s="196">
        <f>IF(E13=BV46,E8,0)</f>
        <v>0</v>
      </c>
      <c r="P32" s="212"/>
      <c r="Q32" s="212"/>
      <c r="R32" s="223">
        <f>O32*Цены!J118</f>
        <v>0</v>
      </c>
      <c r="S32" s="205"/>
      <c r="T32" s="205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5"/>
      <c r="AY32" s="120">
        <f>IF(C25=$BV$8,(F25*E25/1000000)*8,IF(C25=$BV$9,(F25*E25/1000000)*6.5,(F25*E25/1000000)*11))</f>
        <v>0</v>
      </c>
      <c r="AZ32" s="117">
        <v>0</v>
      </c>
      <c r="BA32" s="117">
        <v>0</v>
      </c>
      <c r="BB32" s="117">
        <v>0</v>
      </c>
      <c r="BC32" s="117"/>
      <c r="BD32" s="162">
        <f>IF(AND(J11=BY5,BL32&gt;0,BL32&lt;=2500),1,0)</f>
        <v>0</v>
      </c>
      <c r="BE32" s="163">
        <f>IF(AND(J11=BY4,BO32&gt;0,BO32&lt;=2700),1,0)</f>
        <v>0</v>
      </c>
      <c r="BF32" s="117">
        <v>0</v>
      </c>
      <c r="BG32" s="117">
        <v>0</v>
      </c>
      <c r="BH32" s="117">
        <v>0</v>
      </c>
      <c r="BI32" s="117">
        <v>0</v>
      </c>
      <c r="BJ32" s="162">
        <f>IF(AND(J11=BY5,BL32&gt;2500,BL32&lt;=4950),BM32+1,BM32)</f>
        <v>0</v>
      </c>
      <c r="BK32" s="163">
        <f>IF(AND(J11=BY4,BO32&gt;2700,BO32&lt;=5350),BP32+1,BP32)</f>
        <v>0</v>
      </c>
      <c r="BL32" s="157">
        <f t="shared" ref="BL32:BR32" si="22">BL21</f>
        <v>0</v>
      </c>
      <c r="BM32" s="157">
        <f t="shared" si="22"/>
        <v>0</v>
      </c>
      <c r="BN32" s="157">
        <f t="shared" si="22"/>
        <v>0</v>
      </c>
      <c r="BO32" s="157">
        <f t="shared" si="22"/>
        <v>0</v>
      </c>
      <c r="BP32" s="157">
        <f t="shared" si="22"/>
        <v>0</v>
      </c>
      <c r="BQ32" s="157">
        <f t="shared" si="22"/>
        <v>0</v>
      </c>
      <c r="BR32" s="157">
        <f t="shared" si="22"/>
        <v>0</v>
      </c>
      <c r="BS32" s="5"/>
      <c r="BT32" s="5"/>
    </row>
    <row r="33" spans="2:74" ht="25.05" customHeight="1" thickBot="1" x14ac:dyDescent="0.35">
      <c r="B33" s="58"/>
      <c r="C33" s="59"/>
      <c r="D33" s="59"/>
      <c r="E33" s="59"/>
      <c r="F33" s="59"/>
      <c r="G33" s="59"/>
      <c r="H33" s="9"/>
      <c r="J33" s="413" t="s">
        <v>205</v>
      </c>
      <c r="K33" s="414"/>
      <c r="L33" s="414"/>
      <c r="M33" s="414"/>
      <c r="N33" s="200" t="s">
        <v>208</v>
      </c>
      <c r="O33" s="196">
        <f>E8</f>
        <v>2</v>
      </c>
      <c r="P33" s="212"/>
      <c r="Q33" s="212"/>
      <c r="R33" s="223">
        <f>O33*Цены!J124</f>
        <v>5071.76</v>
      </c>
      <c r="S33" s="205"/>
      <c r="T33" s="205"/>
      <c r="U33" s="69"/>
      <c r="V33" s="69"/>
      <c r="W33" s="69"/>
      <c r="X33" s="69"/>
      <c r="Y33" s="69"/>
      <c r="Z33" s="69"/>
      <c r="AA33" s="69"/>
      <c r="AB33" s="69"/>
      <c r="AC33" s="69"/>
      <c r="AD33" s="5"/>
      <c r="AE33" s="5"/>
      <c r="AF33" s="5"/>
      <c r="AG33" s="5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5"/>
      <c r="AY33" s="245">
        <f>SUM(AY28:AY32)</f>
        <v>15.352513</v>
      </c>
      <c r="AZ33" s="164">
        <v>0</v>
      </c>
      <c r="BA33" s="164">
        <v>0</v>
      </c>
      <c r="BB33" s="164">
        <v>0</v>
      </c>
      <c r="BC33" s="164">
        <v>0</v>
      </c>
      <c r="BD33" s="164">
        <v>0</v>
      </c>
      <c r="BE33" s="115">
        <f>IF(AND(BO33&gt;0,BO33&lt;=2700),1,0)</f>
        <v>1</v>
      </c>
      <c r="BF33" s="164">
        <v>0</v>
      </c>
      <c r="BG33" s="164">
        <v>0</v>
      </c>
      <c r="BH33" s="164">
        <v>0</v>
      </c>
      <c r="BI33" s="164">
        <v>0</v>
      </c>
      <c r="BJ33" s="164">
        <v>0</v>
      </c>
      <c r="BK33" s="115">
        <f>IF(AND(BO33&gt;2700,BO33&lt;=5350),BP33+1,BP33)</f>
        <v>0</v>
      </c>
      <c r="BL33" s="157">
        <f t="shared" ref="BL33:BR33" si="23">BL22</f>
        <v>0</v>
      </c>
      <c r="BM33" s="157">
        <f t="shared" si="23"/>
        <v>0</v>
      </c>
      <c r="BN33" s="157">
        <f t="shared" si="23"/>
        <v>0</v>
      </c>
      <c r="BO33" s="157">
        <f t="shared" si="23"/>
        <v>2160</v>
      </c>
      <c r="BP33" s="157">
        <f t="shared" si="23"/>
        <v>0</v>
      </c>
      <c r="BQ33" s="157">
        <f t="shared" si="23"/>
        <v>0</v>
      </c>
      <c r="BR33" s="157">
        <f t="shared" si="23"/>
        <v>0</v>
      </c>
      <c r="BS33" s="5"/>
      <c r="BT33" s="5"/>
      <c r="BV33" s="48" t="s">
        <v>66</v>
      </c>
    </row>
    <row r="34" spans="2:74" ht="25.05" customHeight="1" thickBot="1" x14ac:dyDescent="0.4">
      <c r="B34" s="76"/>
      <c r="C34" s="77"/>
      <c r="D34" s="275"/>
      <c r="E34" s="275"/>
      <c r="F34" s="275"/>
      <c r="G34" s="275"/>
      <c r="H34" s="9"/>
      <c r="J34" s="460" t="s">
        <v>148</v>
      </c>
      <c r="K34" s="461"/>
      <c r="L34" s="461"/>
      <c r="M34" s="461"/>
      <c r="N34" s="341" t="s">
        <v>188</v>
      </c>
      <c r="O34" s="363">
        <f>E11</f>
        <v>0</v>
      </c>
      <c r="P34" s="212"/>
      <c r="Q34" s="212"/>
      <c r="R34" s="255">
        <f>O34*Цены!J147</f>
        <v>0</v>
      </c>
      <c r="S34" s="205"/>
      <c r="T34" s="205"/>
      <c r="U34" s="69"/>
      <c r="V34" s="69"/>
      <c r="W34" s="69"/>
      <c r="X34" s="69"/>
      <c r="Y34" s="69"/>
      <c r="Z34" s="69"/>
      <c r="AA34" s="69"/>
      <c r="AB34" s="69"/>
      <c r="AC34" s="69"/>
      <c r="AD34" s="5"/>
      <c r="AE34" s="5"/>
      <c r="AF34" s="5"/>
      <c r="AG34" s="5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48" t="s">
        <v>152</v>
      </c>
    </row>
    <row r="35" spans="2:74" ht="25.05" customHeight="1" thickBot="1" x14ac:dyDescent="0.35">
      <c r="B35" s="10"/>
      <c r="C35" s="6"/>
      <c r="D35" s="6"/>
      <c r="E35" s="6"/>
      <c r="F35" s="6"/>
      <c r="G35" s="6"/>
      <c r="H35" s="11"/>
      <c r="J35" s="5"/>
      <c r="K35" s="89"/>
      <c r="L35" s="88"/>
      <c r="M35" s="88"/>
      <c r="N35" s="88"/>
      <c r="O35" s="5"/>
      <c r="R35" s="241">
        <f>SUM(R19:R34)</f>
        <v>10274.57</v>
      </c>
      <c r="S35" s="205"/>
      <c r="T35" s="205"/>
      <c r="U35" s="69"/>
      <c r="V35" s="69"/>
      <c r="W35" s="69"/>
      <c r="X35" s="69"/>
      <c r="Y35" s="69"/>
      <c r="Z35" s="69"/>
      <c r="AA35" s="69"/>
      <c r="AB35" s="69"/>
      <c r="AC35" s="69"/>
      <c r="AD35" s="5"/>
      <c r="AE35" s="5"/>
      <c r="AF35" s="5"/>
      <c r="AG35" s="5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5"/>
      <c r="AY35" s="5"/>
      <c r="AZ35" s="5"/>
      <c r="BA35" s="5"/>
      <c r="BB35" s="5"/>
      <c r="BC35" s="5"/>
      <c r="BD35" s="5"/>
      <c r="BE35" s="204" t="s">
        <v>443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48" t="s">
        <v>153</v>
      </c>
    </row>
    <row r="36" spans="2:74" ht="25.05" customHeight="1" thickBot="1" x14ac:dyDescent="0.4">
      <c r="B36" s="76"/>
      <c r="C36" s="77"/>
      <c r="D36" s="275"/>
      <c r="E36" s="275"/>
      <c r="F36" s="275"/>
      <c r="G36" s="271" t="s">
        <v>227</v>
      </c>
      <c r="H36" s="122">
        <f>ROUNDUP((AY15+AY33)*1.1,0)</f>
        <v>22</v>
      </c>
      <c r="J36" s="5"/>
      <c r="K36" s="5"/>
      <c r="L36" s="5"/>
      <c r="M36" s="5"/>
      <c r="N36" s="5"/>
      <c r="O36" s="5"/>
      <c r="Q36" s="455" t="s">
        <v>382</v>
      </c>
      <c r="R36" s="79"/>
      <c r="S36" s="218"/>
      <c r="T36" s="218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5"/>
      <c r="AY36" s="5"/>
      <c r="BS36" s="5"/>
      <c r="BT36" s="5"/>
    </row>
    <row r="37" spans="2:74" ht="25.05" customHeight="1" thickBot="1" x14ac:dyDescent="0.4">
      <c r="B37" s="81"/>
      <c r="C37" s="82"/>
      <c r="D37" s="83"/>
      <c r="E37" s="83"/>
      <c r="F37" s="83"/>
      <c r="G37" s="83"/>
      <c r="H37" s="84"/>
      <c r="J37" s="5"/>
      <c r="K37" s="5"/>
      <c r="L37" s="427" t="s">
        <v>446</v>
      </c>
      <c r="M37" s="427"/>
      <c r="N37" s="427"/>
      <c r="O37" s="427"/>
      <c r="Q37" s="455"/>
      <c r="R37" s="240">
        <f>R13+R35+H26</f>
        <v>22352.9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5"/>
      <c r="AY37" s="5"/>
      <c r="AZ37" s="115" t="s">
        <v>222</v>
      </c>
      <c r="BA37" s="115"/>
      <c r="BB37" s="115"/>
      <c r="BC37" s="157">
        <v>5000</v>
      </c>
      <c r="BD37" s="157"/>
      <c r="BE37" s="157"/>
      <c r="BF37" s="157"/>
      <c r="BG37" s="157"/>
      <c r="BH37" s="157"/>
      <c r="BI37" s="157"/>
      <c r="BJ37" s="157"/>
      <c r="BK37" s="157"/>
      <c r="BL37" s="157"/>
      <c r="BM37" s="158"/>
      <c r="BN37" s="158"/>
      <c r="BO37" s="158"/>
      <c r="BP37" s="158"/>
      <c r="BQ37" s="158"/>
      <c r="BR37" s="158"/>
      <c r="BS37" s="5"/>
      <c r="BT37" s="5"/>
    </row>
    <row r="38" spans="2:74" ht="25.05" customHeight="1" x14ac:dyDescent="0.3">
      <c r="S38" s="232"/>
      <c r="T38" s="23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5"/>
      <c r="AY38" s="5"/>
      <c r="AZ38" s="115" t="s">
        <v>223</v>
      </c>
      <c r="BA38" s="115"/>
      <c r="BB38" s="115"/>
      <c r="BC38" s="115">
        <v>5075</v>
      </c>
      <c r="BD38" s="157"/>
      <c r="BE38" s="115"/>
      <c r="BF38" s="115"/>
      <c r="BG38" s="115"/>
      <c r="BH38" s="115"/>
      <c r="BI38" s="115"/>
      <c r="BJ38" s="115"/>
      <c r="BK38" s="115"/>
      <c r="BL38" s="115"/>
      <c r="BM38" s="158"/>
      <c r="BN38" s="158"/>
      <c r="BO38" s="158"/>
      <c r="BP38" s="158"/>
      <c r="BQ38" s="158"/>
      <c r="BR38" s="158"/>
      <c r="BS38" s="5"/>
      <c r="BT38" s="5"/>
    </row>
    <row r="39" spans="2:74" ht="25.05" customHeight="1" x14ac:dyDescent="0.3">
      <c r="AZ39" s="157" t="s">
        <v>224</v>
      </c>
      <c r="BA39" s="157"/>
      <c r="BB39" s="157"/>
      <c r="BC39" s="115">
        <v>5400</v>
      </c>
      <c r="BD39" s="157"/>
      <c r="BE39" s="115"/>
      <c r="BF39" s="115"/>
      <c r="BG39" s="115"/>
      <c r="BH39" s="115"/>
      <c r="BI39" s="115"/>
      <c r="BJ39" s="115"/>
      <c r="BK39" s="115"/>
      <c r="BL39" s="115"/>
      <c r="BM39" s="158"/>
      <c r="BN39" s="158"/>
      <c r="BO39" s="158"/>
      <c r="BP39" s="158"/>
      <c r="BQ39" s="158"/>
      <c r="BR39" s="158"/>
    </row>
    <row r="40" spans="2:74" ht="25.05" customHeight="1" x14ac:dyDescent="0.3">
      <c r="AZ40" s="86">
        <v>1000</v>
      </c>
      <c r="BA40" s="86">
        <v>1250</v>
      </c>
      <c r="BB40" s="86">
        <v>1800</v>
      </c>
      <c r="BC40" s="86">
        <v>2000</v>
      </c>
      <c r="BD40" s="86">
        <v>2500</v>
      </c>
      <c r="BE40" s="86">
        <v>2700</v>
      </c>
      <c r="BF40" s="86">
        <v>3000</v>
      </c>
      <c r="BG40" s="86">
        <v>3600</v>
      </c>
      <c r="BH40" s="86">
        <v>3750</v>
      </c>
      <c r="BI40" s="86">
        <v>4000</v>
      </c>
      <c r="BJ40" s="86">
        <v>5000</v>
      </c>
      <c r="BK40" s="116">
        <v>5400</v>
      </c>
      <c r="BL40" s="159"/>
      <c r="BM40" s="158"/>
      <c r="BN40" s="158"/>
      <c r="BO40" s="158"/>
      <c r="BP40" s="158"/>
      <c r="BQ40" s="158"/>
      <c r="BR40" s="158"/>
    </row>
    <row r="41" spans="2:74" ht="25.05" customHeight="1" x14ac:dyDescent="0.3">
      <c r="AZ41" s="115">
        <v>0</v>
      </c>
      <c r="BA41" s="115">
        <v>0</v>
      </c>
      <c r="BB41" s="115">
        <v>0</v>
      </c>
      <c r="BC41" s="115">
        <v>0</v>
      </c>
      <c r="BD41" s="115">
        <v>0</v>
      </c>
      <c r="BE41" s="115">
        <v>0</v>
      </c>
      <c r="BF41" s="115">
        <v>0</v>
      </c>
      <c r="BG41" s="115">
        <v>0</v>
      </c>
      <c r="BH41" s="115">
        <v>0</v>
      </c>
      <c r="BI41" s="115">
        <v>0</v>
      </c>
      <c r="BJ41" s="115">
        <v>0</v>
      </c>
      <c r="BK41" s="264">
        <f>BK30</f>
        <v>2</v>
      </c>
      <c r="BL41" s="157"/>
      <c r="BM41" s="115"/>
      <c r="BN41" s="115"/>
      <c r="BO41" s="115"/>
      <c r="BP41" s="160"/>
      <c r="BQ41" s="160"/>
      <c r="BR41" s="160"/>
    </row>
    <row r="42" spans="2:74" ht="25.05" customHeight="1" x14ac:dyDescent="0.35">
      <c r="AZ42" s="117">
        <v>0</v>
      </c>
      <c r="BA42" s="117">
        <v>0</v>
      </c>
      <c r="BB42" s="117">
        <v>0</v>
      </c>
      <c r="BC42" s="117">
        <v>0</v>
      </c>
      <c r="BD42" s="115">
        <f>IF(AND(BL42&gt;0,BL42&lt;=2500),1,0)</f>
        <v>1</v>
      </c>
      <c r="BE42" s="117">
        <v>0</v>
      </c>
      <c r="BF42" s="117">
        <v>0</v>
      </c>
      <c r="BG42" s="117">
        <v>0</v>
      </c>
      <c r="BH42" s="117">
        <v>0</v>
      </c>
      <c r="BI42" s="117">
        <v>0</v>
      </c>
      <c r="BJ42" s="115">
        <f>IF(AND(BL42&gt;2500,BL42&lt;=4950),BM42+1,BM42)</f>
        <v>0</v>
      </c>
      <c r="BK42" s="117">
        <v>0</v>
      </c>
      <c r="BL42" s="157">
        <f>BL31</f>
        <v>2152</v>
      </c>
      <c r="BM42" s="157">
        <f t="shared" ref="BM42:BR42" si="24">BM31</f>
        <v>0</v>
      </c>
      <c r="BN42" s="157">
        <f t="shared" si="24"/>
        <v>0</v>
      </c>
      <c r="BO42" s="157">
        <f t="shared" si="24"/>
        <v>0</v>
      </c>
      <c r="BP42" s="157">
        <f t="shared" si="24"/>
        <v>0</v>
      </c>
      <c r="BQ42" s="157" t="str">
        <f t="shared" si="24"/>
        <v>Цена 4в1</v>
      </c>
      <c r="BR42" s="157" t="str">
        <f t="shared" si="24"/>
        <v>Цена стандарт</v>
      </c>
      <c r="BV42" s="80" t="s">
        <v>113</v>
      </c>
    </row>
    <row r="43" spans="2:74" ht="25.05" customHeight="1" x14ac:dyDescent="0.3">
      <c r="AZ43" s="117">
        <v>0</v>
      </c>
      <c r="BA43" s="117">
        <v>0</v>
      </c>
      <c r="BB43" s="163">
        <f>IF(AND(J11=BY4,BO43&gt;0,BO43&lt;=1800),1,0)</f>
        <v>0</v>
      </c>
      <c r="BC43" s="117">
        <v>0</v>
      </c>
      <c r="BD43" s="162">
        <f>IF(AND(J11=BY5,BL43&gt;0,BL43&lt;=2500),1,0)</f>
        <v>0</v>
      </c>
      <c r="BE43" s="163">
        <f>IF(AND(J11=BY4,BO43&gt;1800,BO43&lt;=2700),1,0)</f>
        <v>0</v>
      </c>
      <c r="BF43" s="117">
        <v>0</v>
      </c>
      <c r="BG43" s="163">
        <f>IF(AND(J11=BY4,BO43&gt;2700,BO43&lt;=3600),1,0)</f>
        <v>0</v>
      </c>
      <c r="BH43" s="117">
        <v>0</v>
      </c>
      <c r="BI43" s="117">
        <v>0</v>
      </c>
      <c r="BJ43" s="162">
        <f>IF(AND(J11=BY5,BL43&gt;2500,BL43&lt;=4950),BM43+1,BM43)</f>
        <v>0</v>
      </c>
      <c r="BK43" s="163">
        <f>IF(AND(J11=BY4,BO43&gt;3600,BO43&lt;=5350),BP43+1,BP43)</f>
        <v>0</v>
      </c>
      <c r="BL43" s="157">
        <f t="shared" ref="BL43:BR43" si="25">BL32</f>
        <v>0</v>
      </c>
      <c r="BM43" s="157">
        <f t="shared" si="25"/>
        <v>0</v>
      </c>
      <c r="BN43" s="157">
        <f t="shared" si="25"/>
        <v>0</v>
      </c>
      <c r="BO43" s="157">
        <f t="shared" si="25"/>
        <v>0</v>
      </c>
      <c r="BP43" s="157">
        <f t="shared" si="25"/>
        <v>0</v>
      </c>
      <c r="BQ43" s="157">
        <f t="shared" si="25"/>
        <v>0</v>
      </c>
      <c r="BR43" s="157">
        <f t="shared" si="25"/>
        <v>0</v>
      </c>
      <c r="BV43" s="1" t="s">
        <v>82</v>
      </c>
    </row>
    <row r="44" spans="2:74" ht="25.05" customHeight="1" x14ac:dyDescent="0.3">
      <c r="AZ44" s="164">
        <v>0</v>
      </c>
      <c r="BA44" s="164">
        <v>0</v>
      </c>
      <c r="BB44" s="164">
        <v>0</v>
      </c>
      <c r="BC44" s="164">
        <v>0</v>
      </c>
      <c r="BD44" s="164">
        <v>0</v>
      </c>
      <c r="BE44" s="115">
        <f>IF(AND(BO44&gt;0,BO44&lt;=2700),1,0)</f>
        <v>1</v>
      </c>
      <c r="BF44" s="164">
        <v>0</v>
      </c>
      <c r="BG44" s="164">
        <v>0</v>
      </c>
      <c r="BH44" s="164">
        <v>0</v>
      </c>
      <c r="BI44" s="164">
        <v>0</v>
      </c>
      <c r="BJ44" s="164">
        <v>0</v>
      </c>
      <c r="BK44" s="115">
        <f>IF(AND(BO44&gt;2700,BO44&lt;=5350),BP44+1,BP44)</f>
        <v>0</v>
      </c>
      <c r="BL44" s="157">
        <f t="shared" ref="BL44:BR44" si="26">BL33</f>
        <v>0</v>
      </c>
      <c r="BM44" s="157">
        <f t="shared" si="26"/>
        <v>0</v>
      </c>
      <c r="BN44" s="157">
        <f t="shared" si="26"/>
        <v>0</v>
      </c>
      <c r="BO44" s="157">
        <f t="shared" si="26"/>
        <v>2160</v>
      </c>
      <c r="BP44" s="157">
        <f t="shared" si="26"/>
        <v>0</v>
      </c>
      <c r="BQ44" s="157">
        <f t="shared" si="26"/>
        <v>0</v>
      </c>
      <c r="BR44" s="157">
        <f t="shared" si="26"/>
        <v>0</v>
      </c>
    </row>
    <row r="45" spans="2:74" ht="25.05" customHeight="1" x14ac:dyDescent="0.3"/>
    <row r="46" spans="2:74" x14ac:dyDescent="0.3">
      <c r="BV46" s="48" t="s">
        <v>86</v>
      </c>
    </row>
    <row r="47" spans="2:74" x14ac:dyDescent="0.3">
      <c r="BV47" s="48" t="s">
        <v>87</v>
      </c>
    </row>
    <row r="51" spans="16:74" x14ac:dyDescent="0.3">
      <c r="P51" s="48"/>
      <c r="Q51" s="48"/>
      <c r="R51" s="48"/>
      <c r="S51" s="48"/>
      <c r="T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BV51" s="48" t="s">
        <v>162</v>
      </c>
    </row>
    <row r="52" spans="16:74" x14ac:dyDescent="0.3">
      <c r="P52" s="48"/>
      <c r="Q52" s="48"/>
      <c r="R52" s="48"/>
      <c r="S52" s="48"/>
      <c r="T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BV52" s="48" t="s">
        <v>158</v>
      </c>
    </row>
    <row r="53" spans="16:74" x14ac:dyDescent="0.3">
      <c r="P53" s="48"/>
      <c r="Q53" s="48"/>
      <c r="R53" s="48"/>
      <c r="S53" s="48"/>
      <c r="T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BG53" s="33"/>
      <c r="BH53" s="33"/>
      <c r="BL53" s="33"/>
      <c r="BU53" s="33"/>
    </row>
    <row r="54" spans="16:74" x14ac:dyDescent="0.3">
      <c r="P54" s="48"/>
      <c r="Q54" s="48"/>
      <c r="R54" s="48"/>
      <c r="S54" s="48"/>
      <c r="T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BG54" s="33"/>
      <c r="BH54" s="33"/>
      <c r="BL54" s="33"/>
      <c r="BU54" s="33"/>
    </row>
    <row r="55" spans="16:74" x14ac:dyDescent="0.3">
      <c r="P55" s="48"/>
      <c r="Q55" s="48"/>
      <c r="R55" s="48"/>
      <c r="S55" s="48"/>
      <c r="T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BG55" s="33"/>
      <c r="BH55" s="33"/>
      <c r="BL55" s="33"/>
      <c r="BU55" s="33"/>
      <c r="BV55" s="1" t="s">
        <v>161</v>
      </c>
    </row>
    <row r="56" spans="16:74" x14ac:dyDescent="0.3">
      <c r="P56" s="48"/>
      <c r="Q56" s="48"/>
      <c r="R56" s="48"/>
      <c r="S56" s="48"/>
      <c r="T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BV56" s="48" t="s">
        <v>158</v>
      </c>
    </row>
    <row r="59" spans="16:74" x14ac:dyDescent="0.3">
      <c r="P59" s="48"/>
      <c r="Q59" s="48"/>
      <c r="R59" s="48"/>
      <c r="S59" s="48"/>
      <c r="T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BV59" s="48" t="s">
        <v>206</v>
      </c>
    </row>
    <row r="60" spans="16:74" x14ac:dyDescent="0.3">
      <c r="P60" s="48"/>
      <c r="Q60" s="48"/>
      <c r="R60" s="48"/>
      <c r="S60" s="48"/>
      <c r="T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BV60" s="48" t="s">
        <v>207</v>
      </c>
    </row>
    <row r="65" spans="74:74" s="48" customFormat="1" x14ac:dyDescent="0.3">
      <c r="BV65" s="33" t="str">
        <f>Подвесная!BV50</f>
        <v>Серебро матовое</v>
      </c>
    </row>
    <row r="66" spans="74:74" s="48" customFormat="1" x14ac:dyDescent="0.3">
      <c r="BV66" s="33" t="str">
        <f>Подвесная!BV51</f>
        <v>Черный матовый</v>
      </c>
    </row>
    <row r="67" spans="74:74" s="48" customFormat="1" x14ac:dyDescent="0.3">
      <c r="BV67" s="33">
        <f>Подвесная!BV73</f>
        <v>0</v>
      </c>
    </row>
    <row r="68" spans="74:74" s="48" customFormat="1" x14ac:dyDescent="0.3">
      <c r="BV68" s="33">
        <f>Подвесная!BV74</f>
        <v>0</v>
      </c>
    </row>
    <row r="69" spans="74:74" s="48" customFormat="1" x14ac:dyDescent="0.3">
      <c r="BV69" s="33">
        <f>Подвесная!BV75</f>
        <v>0</v>
      </c>
    </row>
    <row r="70" spans="74:74" s="48" customFormat="1" x14ac:dyDescent="0.3">
      <c r="BV70" s="33">
        <f>Подвесная!BV76</f>
        <v>0</v>
      </c>
    </row>
    <row r="71" spans="74:74" s="48" customFormat="1" x14ac:dyDescent="0.3">
      <c r="BV71" s="33">
        <f>Подвесная!BV77</f>
        <v>0</v>
      </c>
    </row>
    <row r="72" spans="74:74" s="48" customFormat="1" x14ac:dyDescent="0.3">
      <c r="BV72" s="33">
        <f>Подвесная!BV78</f>
        <v>0</v>
      </c>
    </row>
    <row r="73" spans="74:74" x14ac:dyDescent="0.3">
      <c r="BV73" s="33">
        <f>Подвесная!BV67</f>
        <v>0</v>
      </c>
    </row>
    <row r="74" spans="74:74" x14ac:dyDescent="0.3">
      <c r="BV74" s="33">
        <f>Подвесная!BV69</f>
        <v>0</v>
      </c>
    </row>
    <row r="75" spans="74:74" x14ac:dyDescent="0.3">
      <c r="BV75" s="33">
        <f>Подвесная!BV70</f>
        <v>0</v>
      </c>
    </row>
    <row r="76" spans="74:74" x14ac:dyDescent="0.3">
      <c r="BV76" s="33">
        <f>Подвесная!BV71</f>
        <v>0</v>
      </c>
    </row>
    <row r="77" spans="74:74" x14ac:dyDescent="0.3">
      <c r="BV77" s="33">
        <f>Подвесная!BV72</f>
        <v>0</v>
      </c>
    </row>
    <row r="78" spans="74:74" x14ac:dyDescent="0.3">
      <c r="BV78" s="33"/>
    </row>
    <row r="79" spans="74:74" x14ac:dyDescent="0.3">
      <c r="BV79" s="33"/>
    </row>
  </sheetData>
  <sheetProtection algorithmName="SHA-512" hashValue="tQK9b8ItC22dAqx3PyYEEQTCEijJ5d7KfqVEyAysBY63/mfWqSq6NDhsqE/brxxjALG7AEAbvL0hqFUPV7WVaA==" saltValue="H+s7vodLli+hkSyahomN9Q==" spinCount="100000" sheet="1" selectLockedCells="1"/>
  <mergeCells count="55">
    <mergeCell ref="J1:O1"/>
    <mergeCell ref="Q36:Q37"/>
    <mergeCell ref="Z3:AA3"/>
    <mergeCell ref="B10:D10"/>
    <mergeCell ref="B11:D11"/>
    <mergeCell ref="B12:D12"/>
    <mergeCell ref="B13:D13"/>
    <mergeCell ref="B1:H1"/>
    <mergeCell ref="B6:D6"/>
    <mergeCell ref="B7:D7"/>
    <mergeCell ref="B8:D8"/>
    <mergeCell ref="B9:D9"/>
    <mergeCell ref="J34:M34"/>
    <mergeCell ref="E4:H4"/>
    <mergeCell ref="E3:H3"/>
    <mergeCell ref="E5:H5"/>
    <mergeCell ref="E6:H6"/>
    <mergeCell ref="E7:H7"/>
    <mergeCell ref="J22:M22"/>
    <mergeCell ref="E8:H8"/>
    <mergeCell ref="E13:H13"/>
    <mergeCell ref="J19:M19"/>
    <mergeCell ref="J20:M20"/>
    <mergeCell ref="J33:M33"/>
    <mergeCell ref="J24:M24"/>
    <mergeCell ref="J25:M25"/>
    <mergeCell ref="J26:M26"/>
    <mergeCell ref="J27:M27"/>
    <mergeCell ref="J28:M28"/>
    <mergeCell ref="J29:M29"/>
    <mergeCell ref="J30:M30"/>
    <mergeCell ref="J31:M31"/>
    <mergeCell ref="J32:M32"/>
    <mergeCell ref="U13:AG13"/>
    <mergeCell ref="J17:L17"/>
    <mergeCell ref="J3:K3"/>
    <mergeCell ref="J7:M7"/>
    <mergeCell ref="U7:AH7"/>
    <mergeCell ref="R4:R5"/>
    <mergeCell ref="L37:O37"/>
    <mergeCell ref="W3:Y3"/>
    <mergeCell ref="AC15:AG15"/>
    <mergeCell ref="C31:D31"/>
    <mergeCell ref="C27:D27"/>
    <mergeCell ref="E26:G26"/>
    <mergeCell ref="J18:M18"/>
    <mergeCell ref="B4:D4"/>
    <mergeCell ref="E9:H9"/>
    <mergeCell ref="E10:H10"/>
    <mergeCell ref="E11:H11"/>
    <mergeCell ref="E12:H12"/>
    <mergeCell ref="B3:D3"/>
    <mergeCell ref="B5:D5"/>
    <mergeCell ref="J23:M23"/>
    <mergeCell ref="J21:M21"/>
  </mergeCells>
  <conditionalFormatting sqref="E11">
    <cfRule type="cellIs" dxfId="37" priority="76" operator="greaterThan">
      <formula>0</formula>
    </cfRule>
  </conditionalFormatting>
  <conditionalFormatting sqref="E12">
    <cfRule type="cellIs" dxfId="36" priority="69" operator="greaterThan">
      <formula>0</formula>
    </cfRule>
  </conditionalFormatting>
  <conditionalFormatting sqref="E13">
    <cfRule type="cellIs" dxfId="35" priority="60" operator="greaterThan">
      <formula>0</formula>
    </cfRule>
  </conditionalFormatting>
  <conditionalFormatting sqref="K4">
    <cfRule type="expression" dxfId="34" priority="63">
      <formula>$K$4&gt;3200</formula>
    </cfRule>
  </conditionalFormatting>
  <conditionalFormatting sqref="E6">
    <cfRule type="cellIs" dxfId="33" priority="45" operator="greaterThan">
      <formula>0</formula>
    </cfRule>
  </conditionalFormatting>
  <conditionalFormatting sqref="O29:Q31 R28:R31 S29:T35 O32:R34">
    <cfRule type="expression" dxfId="32" priority="582">
      <formula>#REF!=0</formula>
    </cfRule>
  </conditionalFormatting>
  <conditionalFormatting sqref="AW27 AI27 AH15 S38:T38 R37">
    <cfRule type="expression" dxfId="31" priority="730">
      <formula>$E$4=0</formula>
    </cfRule>
  </conditionalFormatting>
  <conditionalFormatting sqref="R17:S17 AH12:AI13 H26 F21:H25 O9:Q9 E21 K4:K5 L9:N12 S14 O12:Q12 P10:Q11 AW13 AW9:AW10 S9:T13 AG9:AI10 AJ10:AT10 AI11:AT12 AG11:AG12 O22:Q34 O19:S21 S25:T36 S22:S24 R22:R35">
    <cfRule type="expression" dxfId="30" priority="733">
      <formula>$E$4=0</formula>
    </cfRule>
  </conditionalFormatting>
  <conditionalFormatting sqref="O11">
    <cfRule type="expression" dxfId="29" priority="38">
      <formula>$E$4=0</formula>
    </cfRule>
  </conditionalFormatting>
  <conditionalFormatting sqref="O10">
    <cfRule type="expression" dxfId="28" priority="37">
      <formula>$E$4=0</formula>
    </cfRule>
  </conditionalFormatting>
  <conditionalFormatting sqref="AJ27">
    <cfRule type="expression" dxfId="27" priority="25">
      <formula>$E$4=0</formula>
    </cfRule>
  </conditionalFormatting>
  <conditionalFormatting sqref="AJ9:AJ10 AJ12:AJ13">
    <cfRule type="expression" dxfId="26" priority="26">
      <formula>$E$4=0</formula>
    </cfRule>
  </conditionalFormatting>
  <conditionalFormatting sqref="AT27:AV27">
    <cfRule type="expression" dxfId="25" priority="21">
      <formula>$E$4=0</formula>
    </cfRule>
  </conditionalFormatting>
  <conditionalFormatting sqref="AT9:AV10 AT13:AV13 AU11:AU12 AT12:AU12">
    <cfRule type="expression" dxfId="24" priority="22">
      <formula>$E$4=0</formula>
    </cfRule>
  </conditionalFormatting>
  <conditionalFormatting sqref="AS27">
    <cfRule type="expression" dxfId="23" priority="17">
      <formula>$E$4=0</formula>
    </cfRule>
  </conditionalFormatting>
  <conditionalFormatting sqref="AS12:AS13 AS9:AS10">
    <cfRule type="expression" dxfId="22" priority="18">
      <formula>$E$4=0</formula>
    </cfRule>
  </conditionalFormatting>
  <conditionalFormatting sqref="AP27:AR27">
    <cfRule type="expression" dxfId="21" priority="13">
      <formula>$E$4=0</formula>
    </cfRule>
  </conditionalFormatting>
  <conditionalFormatting sqref="AP9:AR10 AP12:AR13">
    <cfRule type="expression" dxfId="20" priority="14">
      <formula>$E$4=0</formula>
    </cfRule>
  </conditionalFormatting>
  <conditionalFormatting sqref="AN27:AO27">
    <cfRule type="expression" dxfId="19" priority="9">
      <formula>$E$4=0</formula>
    </cfRule>
  </conditionalFormatting>
  <conditionalFormatting sqref="AN12:AO12 AN9:AO10 AO13">
    <cfRule type="expression" dxfId="18" priority="10">
      <formula>$E$4=0</formula>
    </cfRule>
  </conditionalFormatting>
  <conditionalFormatting sqref="AK27:AM27">
    <cfRule type="expression" dxfId="17" priority="7">
      <formula>$E$4=0</formula>
    </cfRule>
  </conditionalFormatting>
  <conditionalFormatting sqref="AK9:AM10 AK12:AM13">
    <cfRule type="expression" dxfId="16" priority="8">
      <formula>$E$4=0</formula>
    </cfRule>
  </conditionalFormatting>
  <conditionalFormatting sqref="C27">
    <cfRule type="expression" dxfId="15" priority="1091">
      <formula>$C$27=$BV$22</formula>
    </cfRule>
  </conditionalFormatting>
  <conditionalFormatting sqref="C27:D27">
    <cfRule type="expression" dxfId="14" priority="1092">
      <formula>$C$27=$BV$21</formula>
    </cfRule>
  </conditionalFormatting>
  <conditionalFormatting sqref="C31">
    <cfRule type="expression" dxfId="13" priority="1093">
      <formula>$C$31=$BV$42</formula>
    </cfRule>
  </conditionalFormatting>
  <conditionalFormatting sqref="S11:S14 R6:AI6 S4:AI5 R1:AI2 R16:AW16 S7:AI8 S9:T10 T11:T12 AJ1:AW10 AG9:AI12 T13:AM13 AO13:AW13 AO15:AW15 AN13:AN15 AJ11:AU12 AI27:AW27 R15:AM15 R3:T3 V3:W3 Z3:AI3 R17:S21 S25:AW26 S28:AW38 S27:AB27 S22:S24 R22:R37">
    <cfRule type="expression" dxfId="12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11" priority="1114">
      <formula>$N$3=$CE$10</formula>
    </cfRule>
  </conditionalFormatting>
  <conditionalFormatting sqref="R37">
    <cfRule type="expression" dxfId="10" priority="1120">
      <formula>$N$3=$CE$11</formula>
    </cfRule>
  </conditionalFormatting>
  <conditionalFormatting sqref="U9:AF12">
    <cfRule type="cellIs" dxfId="9" priority="3" operator="equal">
      <formula>0</formula>
    </cfRule>
  </conditionalFormatting>
  <conditionalFormatting sqref="AW12">
    <cfRule type="expression" dxfId="8" priority="2">
      <formula>$E$4=0</formula>
    </cfRule>
  </conditionalFormatting>
  <conditionalFormatting sqref="AV12">
    <cfRule type="expression" dxfId="7" priority="1">
      <formula>$E$4=0</formula>
    </cfRule>
  </conditionalFormatting>
  <conditionalFormatting sqref="H36">
    <cfRule type="expression" dxfId="6" priority="1130">
      <formula>AND(#REF!=$BV$59,$H$36&gt;30)</formula>
    </cfRule>
    <cfRule type="expression" dxfId="5" priority="1131">
      <formula>AND(#REF!=$BV$60,$H$36&gt;40)</formula>
    </cfRule>
  </conditionalFormatting>
  <conditionalFormatting sqref="K5">
    <cfRule type="expression" dxfId="4" priority="1132">
      <formula>AND(OR($K$5&lt;200,$K$5&gt;900),$E$4&gt;0,#REF!=$BV$60)</formula>
    </cfRule>
    <cfRule type="expression" dxfId="3" priority="1133">
      <formula>$E$8=0</formula>
    </cfRule>
    <cfRule type="expression" dxfId="2" priority="1134">
      <formula>AND(OR($K$5&lt;200,$K$5&gt;700),$E$4&gt;0,#REF!=$BV$59)</formula>
    </cfRule>
  </conditionalFormatting>
  <conditionalFormatting sqref="E10">
    <cfRule type="expression" dxfId="1" priority="1135">
      <formula>AND(#REF!=$BV$60,OR($E$10=$BV$25,$E$10=$BV$26))</formula>
    </cfRule>
    <cfRule type="cellIs" dxfId="0" priority="1136" operator="greaterThan">
      <formula>0</formula>
    </cfRule>
  </conditionalFormatting>
  <dataValidations count="11">
    <dataValidation type="list" allowBlank="1" showInputMessage="1" showErrorMessage="1" sqref="E8">
      <formula1>$BV$4:$BV$5</formula1>
    </dataValidation>
    <dataValidation type="list" allowBlank="1" showInputMessage="1" showErrorMessage="1" sqref="E9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1">
      <formula1>0</formula1>
      <formula2>20</formula2>
    </dataValidation>
    <dataValidation type="list" allowBlank="1" showInputMessage="1" showErrorMessage="1" sqref="C21:C25">
      <formula1>$BV$8:$BV$10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E10">
      <formula1>$BV$25:$BV$28</formula1>
    </dataValidation>
    <dataValidation type="list" allowBlank="1" showInputMessage="1" showErrorMessage="1" sqref="E7:H7">
      <formula1>$BV$65:$BV$66</formula1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13:H13">
      <formula1>$BV$16:$BV$17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9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E27:G27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0"/>
  <sheetViews>
    <sheetView workbookViewId="0">
      <selection activeCell="K2" sqref="K2"/>
    </sheetView>
  </sheetViews>
  <sheetFormatPr defaultColWidth="9.109375" defaultRowHeight="14.4" x14ac:dyDescent="0.3"/>
  <cols>
    <col min="1" max="1" width="1" style="23" customWidth="1"/>
    <col min="2" max="2" width="18.5546875" style="23" customWidth="1"/>
    <col min="3" max="3" width="47.88671875" style="23" hidden="1" customWidth="1"/>
    <col min="4" max="4" width="36" style="186" customWidth="1"/>
    <col min="5" max="5" width="17.109375" style="23" hidden="1" customWidth="1"/>
    <col min="6" max="6" width="23.77734375" style="186" customWidth="1"/>
    <col min="7" max="7" width="16.33203125" style="186" customWidth="1"/>
    <col min="8" max="9" width="13.6640625" style="23" customWidth="1"/>
    <col min="10" max="10" width="13.6640625" style="41" customWidth="1"/>
    <col min="11" max="11" width="18.44140625" style="41" customWidth="1"/>
    <col min="12" max="13" width="12.21875" style="23" hidden="1" customWidth="1"/>
    <col min="14" max="14" width="14.109375" style="23" hidden="1" customWidth="1"/>
    <col min="15" max="15" width="14.6640625" style="23" hidden="1" customWidth="1"/>
    <col min="16" max="16" width="9.109375" style="23" customWidth="1"/>
    <col min="17" max="16384" width="9.109375" style="23"/>
  </cols>
  <sheetData>
    <row r="1" spans="1:15" x14ac:dyDescent="0.3">
      <c r="A1" s="20"/>
      <c r="B1" s="21"/>
      <c r="C1" s="21"/>
      <c r="D1" s="184"/>
      <c r="E1" s="21"/>
      <c r="F1" s="184"/>
      <c r="G1" s="25"/>
      <c r="H1" s="20"/>
      <c r="I1" s="22"/>
      <c r="J1" s="24"/>
      <c r="K1" s="24"/>
    </row>
    <row r="2" spans="1:15" x14ac:dyDescent="0.3">
      <c r="A2" s="20"/>
      <c r="B2" s="21"/>
      <c r="C2" s="21"/>
      <c r="D2" s="184"/>
      <c r="E2" s="21"/>
      <c r="F2" s="184"/>
      <c r="G2" s="25"/>
      <c r="H2" s="25"/>
      <c r="I2" s="26"/>
      <c r="J2" s="26" t="s">
        <v>166</v>
      </c>
      <c r="K2" s="100" t="s">
        <v>168</v>
      </c>
      <c r="N2" s="23" t="s">
        <v>168</v>
      </c>
    </row>
    <row r="3" spans="1:15" x14ac:dyDescent="0.3">
      <c r="A3" s="20"/>
      <c r="B3" s="7"/>
      <c r="C3" s="7"/>
      <c r="D3" s="184"/>
      <c r="E3" s="27"/>
      <c r="F3" s="185"/>
      <c r="G3" s="25"/>
      <c r="H3" s="313" t="s">
        <v>20</v>
      </c>
      <c r="I3" s="312"/>
      <c r="J3" s="312"/>
      <c r="K3" s="98">
        <v>0</v>
      </c>
      <c r="N3" s="23" t="s">
        <v>167</v>
      </c>
    </row>
    <row r="4" spans="1:15" x14ac:dyDescent="0.3">
      <c r="A4" s="20"/>
      <c r="B4" s="7"/>
      <c r="C4" s="7"/>
      <c r="D4" s="184"/>
      <c r="E4" s="27"/>
      <c r="F4" s="185"/>
      <c r="G4" s="25"/>
      <c r="H4" s="24"/>
      <c r="I4" s="24"/>
      <c r="J4" s="24"/>
      <c r="K4" s="28"/>
    </row>
    <row r="5" spans="1:15" s="30" customFormat="1" ht="30" customHeight="1" x14ac:dyDescent="0.25">
      <c r="A5" s="20"/>
      <c r="B5" s="307" t="s">
        <v>439</v>
      </c>
      <c r="C5" s="307"/>
      <c r="D5" s="307" t="s">
        <v>21</v>
      </c>
      <c r="E5" s="311"/>
      <c r="F5" s="154" t="s">
        <v>22</v>
      </c>
      <c r="G5" s="154" t="s">
        <v>23</v>
      </c>
      <c r="H5" s="154" t="s">
        <v>118</v>
      </c>
      <c r="I5" s="154" t="s">
        <v>24</v>
      </c>
      <c r="J5" s="155" t="s">
        <v>170</v>
      </c>
      <c r="K5" s="156" t="s">
        <v>169</v>
      </c>
    </row>
    <row r="6" spans="1:15" s="30" customFormat="1" ht="20.100000000000001" customHeight="1" x14ac:dyDescent="0.25">
      <c r="A6" s="20"/>
      <c r="B6" s="468"/>
      <c r="C6" s="310" t="s">
        <v>452</v>
      </c>
      <c r="D6" s="471" t="s">
        <v>457</v>
      </c>
      <c r="E6" s="466" t="s">
        <v>25</v>
      </c>
      <c r="F6" s="183" t="s">
        <v>454</v>
      </c>
      <c r="G6" s="147" t="s">
        <v>201</v>
      </c>
      <c r="H6" s="510">
        <v>5.4</v>
      </c>
      <c r="I6" s="468" t="s">
        <v>26</v>
      </c>
      <c r="J6" s="136">
        <f>K6-K6*$K$3</f>
        <v>3305.07</v>
      </c>
      <c r="K6" s="135">
        <f t="shared" ref="K6:K37" si="0">IF($K$2=$N$2,N6,O6)</f>
        <v>3305.07</v>
      </c>
      <c r="L6" s="31"/>
      <c r="M6" s="31"/>
      <c r="N6" s="176">
        <v>3305.07</v>
      </c>
      <c r="O6" s="127">
        <f>N6*1.05</f>
        <v>3470.3235000000004</v>
      </c>
    </row>
    <row r="7" spans="1:15" s="30" customFormat="1" ht="20.100000000000001" customHeight="1" x14ac:dyDescent="0.25">
      <c r="A7" s="20"/>
      <c r="B7" s="469"/>
      <c r="C7" s="310" t="s">
        <v>452</v>
      </c>
      <c r="D7" s="472"/>
      <c r="E7" s="466"/>
      <c r="F7" s="183" t="s">
        <v>455</v>
      </c>
      <c r="G7" s="147" t="s">
        <v>119</v>
      </c>
      <c r="H7" s="511"/>
      <c r="I7" s="469"/>
      <c r="J7" s="136">
        <f t="shared" ref="J7:J87" si="1">K7-K7*$K$3</f>
        <v>3556.55</v>
      </c>
      <c r="K7" s="135">
        <f t="shared" si="0"/>
        <v>3556.55</v>
      </c>
      <c r="L7" s="31"/>
      <c r="M7" s="31"/>
      <c r="N7" s="176">
        <v>3556.55</v>
      </c>
      <c r="O7" s="127">
        <f>N7*1.05</f>
        <v>3734.3775000000005</v>
      </c>
    </row>
    <row r="8" spans="1:15" s="30" customFormat="1" ht="20.100000000000001" customHeight="1" x14ac:dyDescent="0.25">
      <c r="A8" s="20"/>
      <c r="B8" s="469"/>
      <c r="C8" s="310" t="s">
        <v>452</v>
      </c>
      <c r="D8" s="472"/>
      <c r="E8" s="466" t="s">
        <v>27</v>
      </c>
      <c r="F8" s="183"/>
      <c r="G8" s="147"/>
      <c r="H8" s="511"/>
      <c r="I8" s="469"/>
      <c r="J8" s="136"/>
      <c r="K8" s="135"/>
      <c r="L8" s="31"/>
      <c r="M8" s="31"/>
      <c r="N8" s="177"/>
      <c r="O8" s="127">
        <f>N8*1.05</f>
        <v>0</v>
      </c>
    </row>
    <row r="9" spans="1:15" s="30" customFormat="1" ht="20.100000000000001" customHeight="1" x14ac:dyDescent="0.25">
      <c r="A9" s="20"/>
      <c r="B9" s="469"/>
      <c r="C9" s="310" t="s">
        <v>452</v>
      </c>
      <c r="D9" s="472"/>
      <c r="E9" s="466"/>
      <c r="F9" s="183"/>
      <c r="G9" s="147"/>
      <c r="H9" s="511"/>
      <c r="I9" s="469"/>
      <c r="J9" s="136"/>
      <c r="K9" s="135"/>
      <c r="L9" s="31"/>
      <c r="M9" s="31"/>
      <c r="N9" s="128"/>
      <c r="O9" s="139">
        <f t="shared" ref="O9:O18" si="2">N9*1.05</f>
        <v>0</v>
      </c>
    </row>
    <row r="10" spans="1:15" s="30" customFormat="1" ht="20.100000000000001" customHeight="1" x14ac:dyDescent="0.25">
      <c r="A10" s="20"/>
      <c r="B10" s="469"/>
      <c r="C10" s="310" t="s">
        <v>452</v>
      </c>
      <c r="D10" s="472"/>
      <c r="E10" s="466"/>
      <c r="F10" s="183"/>
      <c r="G10" s="147"/>
      <c r="H10" s="511"/>
      <c r="I10" s="469"/>
      <c r="J10" s="136"/>
      <c r="K10" s="135"/>
      <c r="L10" s="31"/>
      <c r="M10" s="31"/>
      <c r="N10" s="128"/>
      <c r="O10" s="139">
        <f t="shared" si="2"/>
        <v>0</v>
      </c>
    </row>
    <row r="11" spans="1:15" s="30" customFormat="1" ht="20.100000000000001" customHeight="1" x14ac:dyDescent="0.25">
      <c r="A11" s="20"/>
      <c r="B11" s="469"/>
      <c r="C11" s="310" t="s">
        <v>452</v>
      </c>
      <c r="D11" s="472"/>
      <c r="E11" s="466"/>
      <c r="F11" s="183"/>
      <c r="G11" s="147"/>
      <c r="H11" s="511"/>
      <c r="I11" s="469"/>
      <c r="J11" s="136"/>
      <c r="K11" s="135"/>
      <c r="L11" s="31"/>
      <c r="M11" s="31"/>
      <c r="N11" s="128"/>
      <c r="O11" s="139">
        <f t="shared" si="2"/>
        <v>0</v>
      </c>
    </row>
    <row r="12" spans="1:15" s="30" customFormat="1" ht="20.100000000000001" customHeight="1" x14ac:dyDescent="0.25">
      <c r="A12" s="20"/>
      <c r="B12" s="469"/>
      <c r="C12" s="310" t="s">
        <v>452</v>
      </c>
      <c r="D12" s="472"/>
      <c r="E12" s="466"/>
      <c r="F12" s="183"/>
      <c r="G12" s="147"/>
      <c r="H12" s="511"/>
      <c r="I12" s="469"/>
      <c r="J12" s="136"/>
      <c r="K12" s="135"/>
      <c r="L12" s="31"/>
      <c r="M12" s="31"/>
      <c r="N12" s="128"/>
      <c r="O12" s="139">
        <f t="shared" si="2"/>
        <v>0</v>
      </c>
    </row>
    <row r="13" spans="1:15" s="30" customFormat="1" ht="20.100000000000001" customHeight="1" x14ac:dyDescent="0.25">
      <c r="A13" s="20"/>
      <c r="B13" s="469"/>
      <c r="C13" s="310" t="s">
        <v>452</v>
      </c>
      <c r="D13" s="472"/>
      <c r="E13" s="466"/>
      <c r="F13" s="183"/>
      <c r="G13" s="147"/>
      <c r="H13" s="511"/>
      <c r="I13" s="469"/>
      <c r="J13" s="136"/>
      <c r="K13" s="135"/>
      <c r="L13" s="31"/>
      <c r="M13" s="31"/>
      <c r="N13" s="128"/>
      <c r="O13" s="139">
        <f t="shared" si="2"/>
        <v>0</v>
      </c>
    </row>
    <row r="14" spans="1:15" s="30" customFormat="1" ht="20.100000000000001" customHeight="1" x14ac:dyDescent="0.25">
      <c r="A14" s="20"/>
      <c r="B14" s="469"/>
      <c r="C14" s="310" t="s">
        <v>452</v>
      </c>
      <c r="D14" s="472"/>
      <c r="E14" s="305"/>
      <c r="F14" s="183"/>
      <c r="G14" s="147"/>
      <c r="H14" s="511"/>
      <c r="I14" s="469"/>
      <c r="J14" s="136"/>
      <c r="K14" s="135"/>
      <c r="L14" s="31"/>
      <c r="M14" s="31"/>
      <c r="N14" s="137"/>
      <c r="O14" s="140">
        <f t="shared" si="2"/>
        <v>0</v>
      </c>
    </row>
    <row r="15" spans="1:15" s="30" customFormat="1" ht="20.100000000000001" customHeight="1" x14ac:dyDescent="0.25">
      <c r="A15" s="20"/>
      <c r="B15" s="469"/>
      <c r="C15" s="310" t="s">
        <v>452</v>
      </c>
      <c r="D15" s="472"/>
      <c r="E15" s="305"/>
      <c r="F15" s="183"/>
      <c r="G15" s="147"/>
      <c r="H15" s="511"/>
      <c r="I15" s="469"/>
      <c r="J15" s="136"/>
      <c r="K15" s="135"/>
      <c r="L15" s="31"/>
      <c r="M15" s="31"/>
      <c r="N15" s="137"/>
      <c r="O15" s="140">
        <f t="shared" si="2"/>
        <v>0</v>
      </c>
    </row>
    <row r="16" spans="1:15" s="30" customFormat="1" ht="20.100000000000001" customHeight="1" x14ac:dyDescent="0.25">
      <c r="A16" s="20"/>
      <c r="B16" s="469"/>
      <c r="C16" s="310" t="s">
        <v>452</v>
      </c>
      <c r="D16" s="472"/>
      <c r="E16" s="305"/>
      <c r="F16" s="183"/>
      <c r="G16" s="147"/>
      <c r="H16" s="511"/>
      <c r="I16" s="469"/>
      <c r="J16" s="136"/>
      <c r="K16" s="135"/>
      <c r="L16" s="31"/>
      <c r="M16" s="31"/>
      <c r="N16" s="137"/>
      <c r="O16" s="140">
        <f t="shared" si="2"/>
        <v>0</v>
      </c>
    </row>
    <row r="17" spans="1:15" s="30" customFormat="1" ht="20.100000000000001" customHeight="1" x14ac:dyDescent="0.25">
      <c r="A17" s="20"/>
      <c r="B17" s="469"/>
      <c r="C17" s="310" t="s">
        <v>452</v>
      </c>
      <c r="D17" s="472"/>
      <c r="E17" s="305"/>
      <c r="F17" s="183"/>
      <c r="G17" s="147"/>
      <c r="H17" s="511"/>
      <c r="I17" s="469"/>
      <c r="J17" s="136"/>
      <c r="K17" s="135"/>
      <c r="L17" s="31"/>
      <c r="M17" s="31"/>
      <c r="N17" s="137"/>
      <c r="O17" s="140">
        <f t="shared" si="2"/>
        <v>0</v>
      </c>
    </row>
    <row r="18" spans="1:15" s="30" customFormat="1" ht="20.100000000000001" customHeight="1" x14ac:dyDescent="0.25">
      <c r="A18" s="20"/>
      <c r="B18" s="470"/>
      <c r="C18" s="310" t="s">
        <v>452</v>
      </c>
      <c r="D18" s="473"/>
      <c r="E18" s="305"/>
      <c r="F18" s="183"/>
      <c r="G18" s="147"/>
      <c r="H18" s="512"/>
      <c r="I18" s="470"/>
      <c r="J18" s="136"/>
      <c r="K18" s="135"/>
      <c r="L18" s="31"/>
      <c r="M18" s="31"/>
      <c r="N18" s="137"/>
      <c r="O18" s="140">
        <f t="shared" si="2"/>
        <v>0</v>
      </c>
    </row>
    <row r="19" spans="1:15" s="30" customFormat="1" ht="20.100000000000001" customHeight="1" x14ac:dyDescent="0.25">
      <c r="A19" s="20"/>
      <c r="B19" s="468"/>
      <c r="C19" s="310" t="s">
        <v>4</v>
      </c>
      <c r="D19" s="471" t="s">
        <v>121</v>
      </c>
      <c r="E19" s="466" t="s">
        <v>30</v>
      </c>
      <c r="F19" s="183" t="s">
        <v>233</v>
      </c>
      <c r="G19" s="147" t="s">
        <v>201</v>
      </c>
      <c r="H19" s="510">
        <v>5.0750000000000002</v>
      </c>
      <c r="I19" s="468" t="s">
        <v>26</v>
      </c>
      <c r="J19" s="136">
        <f t="shared" si="1"/>
        <v>1892.95</v>
      </c>
      <c r="K19" s="135">
        <f t="shared" si="0"/>
        <v>1892.95</v>
      </c>
      <c r="L19" s="31"/>
      <c r="M19" s="31"/>
      <c r="N19" s="176">
        <v>1892.95</v>
      </c>
      <c r="O19" s="127">
        <f>N19*1.05</f>
        <v>1987.5975000000001</v>
      </c>
    </row>
    <row r="20" spans="1:15" s="30" customFormat="1" ht="20.100000000000001" customHeight="1" x14ac:dyDescent="0.25">
      <c r="A20" s="20"/>
      <c r="B20" s="469"/>
      <c r="C20" s="310" t="s">
        <v>4</v>
      </c>
      <c r="D20" s="472"/>
      <c r="E20" s="466"/>
      <c r="F20" s="183" t="s">
        <v>260</v>
      </c>
      <c r="G20" s="147" t="s">
        <v>119</v>
      </c>
      <c r="H20" s="511"/>
      <c r="I20" s="469"/>
      <c r="J20" s="136">
        <f t="shared" si="1"/>
        <v>2043.16</v>
      </c>
      <c r="K20" s="135">
        <f t="shared" si="0"/>
        <v>2043.16</v>
      </c>
      <c r="L20" s="31"/>
      <c r="M20" s="31"/>
      <c r="N20" s="177">
        <v>2043.16</v>
      </c>
      <c r="O20" s="127">
        <f>N20*1.05</f>
        <v>2145.3180000000002</v>
      </c>
    </row>
    <row r="21" spans="1:15" s="30" customFormat="1" ht="20.100000000000001" customHeight="1" x14ac:dyDescent="0.25">
      <c r="A21" s="20"/>
      <c r="B21" s="469"/>
      <c r="C21" s="310" t="s">
        <v>4</v>
      </c>
      <c r="D21" s="472"/>
      <c r="E21" s="466" t="s">
        <v>31</v>
      </c>
      <c r="F21" s="183" t="s">
        <v>251</v>
      </c>
      <c r="G21" s="147" t="s">
        <v>202</v>
      </c>
      <c r="H21" s="511"/>
      <c r="I21" s="469"/>
      <c r="J21" s="136">
        <f t="shared" ref="J21" si="3">K21-K21*$K$3</f>
        <v>2251.71</v>
      </c>
      <c r="K21" s="135">
        <f t="shared" si="0"/>
        <v>2251.71</v>
      </c>
      <c r="L21" s="31"/>
      <c r="M21" s="31"/>
      <c r="N21" s="176">
        <v>2251.71</v>
      </c>
      <c r="O21" s="127">
        <f>N21*1.05</f>
        <v>2364.2955000000002</v>
      </c>
    </row>
    <row r="22" spans="1:15" s="30" customFormat="1" ht="20.100000000000001" customHeight="1" x14ac:dyDescent="0.25">
      <c r="A22" s="20"/>
      <c r="B22" s="469"/>
      <c r="C22" s="310" t="s">
        <v>4</v>
      </c>
      <c r="D22" s="472"/>
      <c r="E22" s="466"/>
      <c r="F22" s="183" t="s">
        <v>239</v>
      </c>
      <c r="G22" s="147" t="s">
        <v>120</v>
      </c>
      <c r="H22" s="511"/>
      <c r="I22" s="469"/>
      <c r="J22" s="136">
        <f t="shared" si="1"/>
        <v>2251.71</v>
      </c>
      <c r="K22" s="135">
        <f t="shared" si="0"/>
        <v>2251.71</v>
      </c>
      <c r="L22" s="31"/>
      <c r="M22" s="31"/>
      <c r="N22" s="181">
        <v>2251.71</v>
      </c>
      <c r="O22" s="140">
        <f t="shared" ref="O22:O87" si="4">N22*1.05</f>
        <v>2364.2955000000002</v>
      </c>
    </row>
    <row r="23" spans="1:15" s="30" customFormat="1" ht="20.100000000000001" customHeight="1" x14ac:dyDescent="0.25">
      <c r="A23" s="20"/>
      <c r="B23" s="469"/>
      <c r="C23" s="310" t="s">
        <v>4</v>
      </c>
      <c r="D23" s="472"/>
      <c r="E23" s="466"/>
      <c r="F23" s="183" t="s">
        <v>243</v>
      </c>
      <c r="G23" s="147" t="s">
        <v>28</v>
      </c>
      <c r="H23" s="511"/>
      <c r="I23" s="469"/>
      <c r="J23" s="136">
        <f t="shared" ref="J23:J26" si="5">K23-K23*$K$3</f>
        <v>2251.71</v>
      </c>
      <c r="K23" s="135">
        <f t="shared" si="0"/>
        <v>2251.71</v>
      </c>
      <c r="L23" s="31"/>
      <c r="M23" s="31"/>
      <c r="N23" s="181">
        <v>2251.71</v>
      </c>
      <c r="O23" s="140">
        <f t="shared" ref="O23:O31" si="6">N23*1.05</f>
        <v>2364.2955000000002</v>
      </c>
    </row>
    <row r="24" spans="1:15" s="30" customFormat="1" ht="20.100000000000001" customHeight="1" x14ac:dyDescent="0.25">
      <c r="A24" s="20"/>
      <c r="B24" s="469"/>
      <c r="C24" s="310" t="s">
        <v>4</v>
      </c>
      <c r="D24" s="472"/>
      <c r="E24" s="466"/>
      <c r="F24" s="183" t="s">
        <v>247</v>
      </c>
      <c r="G24" s="147" t="s">
        <v>29</v>
      </c>
      <c r="H24" s="511"/>
      <c r="I24" s="469"/>
      <c r="J24" s="136">
        <f t="shared" si="5"/>
        <v>2251.71</v>
      </c>
      <c r="K24" s="135">
        <f t="shared" si="0"/>
        <v>2251.71</v>
      </c>
      <c r="L24" s="31"/>
      <c r="M24" s="31"/>
      <c r="N24" s="181">
        <v>2251.71</v>
      </c>
      <c r="O24" s="140">
        <f t="shared" si="6"/>
        <v>2364.2955000000002</v>
      </c>
    </row>
    <row r="25" spans="1:15" s="30" customFormat="1" ht="20.100000000000001" customHeight="1" x14ac:dyDescent="0.25">
      <c r="A25" s="20"/>
      <c r="B25" s="469"/>
      <c r="C25" s="310" t="s">
        <v>4</v>
      </c>
      <c r="D25" s="472"/>
      <c r="E25" s="466"/>
      <c r="F25" s="183" t="s">
        <v>254</v>
      </c>
      <c r="G25" s="147" t="s">
        <v>203</v>
      </c>
      <c r="H25" s="511"/>
      <c r="I25" s="469"/>
      <c r="J25" s="136">
        <f t="shared" si="5"/>
        <v>2251.71</v>
      </c>
      <c r="K25" s="135">
        <f t="shared" si="0"/>
        <v>2251.71</v>
      </c>
      <c r="L25" s="31"/>
      <c r="M25" s="31"/>
      <c r="N25" s="181">
        <v>2251.71</v>
      </c>
      <c r="O25" s="140">
        <f t="shared" si="6"/>
        <v>2364.2955000000002</v>
      </c>
    </row>
    <row r="26" spans="1:15" s="30" customFormat="1" ht="20.100000000000001" customHeight="1" x14ac:dyDescent="0.25">
      <c r="A26" s="20"/>
      <c r="B26" s="469"/>
      <c r="C26" s="310" t="s">
        <v>4</v>
      </c>
      <c r="D26" s="472"/>
      <c r="E26" s="466"/>
      <c r="F26" s="183" t="s">
        <v>256</v>
      </c>
      <c r="G26" s="147" t="s">
        <v>407</v>
      </c>
      <c r="H26" s="511"/>
      <c r="I26" s="469"/>
      <c r="J26" s="136">
        <f t="shared" si="5"/>
        <v>2251.71</v>
      </c>
      <c r="K26" s="135">
        <f t="shared" si="0"/>
        <v>2251.71</v>
      </c>
      <c r="L26" s="31"/>
      <c r="M26" s="31"/>
      <c r="N26" s="181">
        <v>2251.71</v>
      </c>
      <c r="O26" s="140">
        <f t="shared" si="6"/>
        <v>2364.2955000000002</v>
      </c>
    </row>
    <row r="27" spans="1:15" s="30" customFormat="1" ht="20.100000000000001" customHeight="1" x14ac:dyDescent="0.25">
      <c r="A27" s="20"/>
      <c r="B27" s="469"/>
      <c r="C27" s="310" t="s">
        <v>4</v>
      </c>
      <c r="D27" s="472"/>
      <c r="E27" s="305"/>
      <c r="F27" s="183" t="s">
        <v>425</v>
      </c>
      <c r="G27" s="147" t="s">
        <v>405</v>
      </c>
      <c r="H27" s="511"/>
      <c r="I27" s="469"/>
      <c r="J27" s="136">
        <f t="shared" ref="J27:J31" si="7">K27-K27*$K$3</f>
        <v>2251.71</v>
      </c>
      <c r="K27" s="135">
        <f t="shared" si="0"/>
        <v>2251.71</v>
      </c>
      <c r="L27" s="31"/>
      <c r="M27" s="31"/>
      <c r="N27" s="181">
        <v>2251.71</v>
      </c>
      <c r="O27" s="140">
        <f t="shared" si="6"/>
        <v>2364.2955000000002</v>
      </c>
    </row>
    <row r="28" spans="1:15" s="30" customFormat="1" ht="20.100000000000001" customHeight="1" x14ac:dyDescent="0.25">
      <c r="A28" s="20"/>
      <c r="B28" s="469"/>
      <c r="C28" s="310" t="s">
        <v>4</v>
      </c>
      <c r="D28" s="472"/>
      <c r="E28" s="305"/>
      <c r="F28" s="183" t="s">
        <v>410</v>
      </c>
      <c r="G28" s="147" t="s">
        <v>402</v>
      </c>
      <c r="H28" s="511"/>
      <c r="I28" s="469"/>
      <c r="J28" s="136">
        <f t="shared" si="7"/>
        <v>2251.71</v>
      </c>
      <c r="K28" s="135">
        <f t="shared" si="0"/>
        <v>2251.71</v>
      </c>
      <c r="L28" s="31"/>
      <c r="M28" s="31"/>
      <c r="N28" s="181">
        <v>2251.71</v>
      </c>
      <c r="O28" s="140">
        <f t="shared" si="6"/>
        <v>2364.2955000000002</v>
      </c>
    </row>
    <row r="29" spans="1:15" s="30" customFormat="1" ht="20.100000000000001" customHeight="1" x14ac:dyDescent="0.25">
      <c r="A29" s="20"/>
      <c r="B29" s="469"/>
      <c r="C29" s="310" t="s">
        <v>4</v>
      </c>
      <c r="D29" s="472"/>
      <c r="E29" s="305"/>
      <c r="F29" s="183" t="s">
        <v>421</v>
      </c>
      <c r="G29" s="147" t="s">
        <v>406</v>
      </c>
      <c r="H29" s="511"/>
      <c r="I29" s="469"/>
      <c r="J29" s="136">
        <f t="shared" si="7"/>
        <v>2251.71</v>
      </c>
      <c r="K29" s="135">
        <f t="shared" si="0"/>
        <v>2251.71</v>
      </c>
      <c r="L29" s="31"/>
      <c r="M29" s="31"/>
      <c r="N29" s="181">
        <v>2251.71</v>
      </c>
      <c r="O29" s="140">
        <f t="shared" si="6"/>
        <v>2364.2955000000002</v>
      </c>
    </row>
    <row r="30" spans="1:15" s="30" customFormat="1" ht="20.100000000000001" customHeight="1" x14ac:dyDescent="0.25">
      <c r="A30" s="20"/>
      <c r="B30" s="469"/>
      <c r="C30" s="310" t="s">
        <v>4</v>
      </c>
      <c r="D30" s="472"/>
      <c r="E30" s="305"/>
      <c r="F30" s="183" t="s">
        <v>418</v>
      </c>
      <c r="G30" s="147" t="s">
        <v>404</v>
      </c>
      <c r="H30" s="511"/>
      <c r="I30" s="469"/>
      <c r="J30" s="136">
        <f t="shared" si="7"/>
        <v>2251.71</v>
      </c>
      <c r="K30" s="135">
        <f t="shared" si="0"/>
        <v>2251.71</v>
      </c>
      <c r="L30" s="31"/>
      <c r="M30" s="31"/>
      <c r="N30" s="181">
        <v>2251.71</v>
      </c>
      <c r="O30" s="140">
        <f t="shared" si="6"/>
        <v>2364.2955000000002</v>
      </c>
    </row>
    <row r="31" spans="1:15" s="30" customFormat="1" ht="20.100000000000001" customHeight="1" x14ac:dyDescent="0.25">
      <c r="A31" s="20"/>
      <c r="B31" s="470"/>
      <c r="C31" s="310" t="s">
        <v>4</v>
      </c>
      <c r="D31" s="473"/>
      <c r="E31" s="305"/>
      <c r="F31" s="183" t="s">
        <v>415</v>
      </c>
      <c r="G31" s="147" t="s">
        <v>403</v>
      </c>
      <c r="H31" s="512"/>
      <c r="I31" s="470"/>
      <c r="J31" s="136">
        <f t="shared" si="7"/>
        <v>2251.71</v>
      </c>
      <c r="K31" s="135">
        <f t="shared" si="0"/>
        <v>2251.71</v>
      </c>
      <c r="L31" s="31"/>
      <c r="M31" s="31"/>
      <c r="N31" s="181">
        <v>2251.71</v>
      </c>
      <c r="O31" s="140">
        <f t="shared" si="6"/>
        <v>2364.2955000000002</v>
      </c>
    </row>
    <row r="32" spans="1:15" s="30" customFormat="1" ht="20.100000000000001" customHeight="1" x14ac:dyDescent="0.25">
      <c r="A32" s="20"/>
      <c r="B32" s="462"/>
      <c r="C32" s="306" t="s">
        <v>3</v>
      </c>
      <c r="D32" s="464" t="s">
        <v>122</v>
      </c>
      <c r="E32" s="466" t="s">
        <v>25</v>
      </c>
      <c r="F32" s="183" t="s">
        <v>234</v>
      </c>
      <c r="G32" s="147" t="s">
        <v>201</v>
      </c>
      <c r="H32" s="467">
        <v>5</v>
      </c>
      <c r="I32" s="462" t="s">
        <v>26</v>
      </c>
      <c r="J32" s="136">
        <f t="shared" si="1"/>
        <v>5816.07</v>
      </c>
      <c r="K32" s="135">
        <f t="shared" si="0"/>
        <v>5816.07</v>
      </c>
      <c r="L32" s="31"/>
      <c r="M32" s="31"/>
      <c r="N32" s="176">
        <v>5816.07</v>
      </c>
      <c r="O32" s="127">
        <f t="shared" si="4"/>
        <v>6106.8734999999997</v>
      </c>
    </row>
    <row r="33" spans="1:15" s="30" customFormat="1" ht="20.100000000000001" customHeight="1" x14ac:dyDescent="0.25">
      <c r="A33" s="20"/>
      <c r="B33" s="462"/>
      <c r="C33" s="306" t="s">
        <v>3</v>
      </c>
      <c r="D33" s="464"/>
      <c r="E33" s="466"/>
      <c r="F33" s="183" t="s">
        <v>373</v>
      </c>
      <c r="G33" s="147" t="s">
        <v>119</v>
      </c>
      <c r="H33" s="467"/>
      <c r="I33" s="462"/>
      <c r="J33" s="136">
        <f t="shared" si="1"/>
        <v>6096.53</v>
      </c>
      <c r="K33" s="135">
        <f t="shared" si="0"/>
        <v>6096.53</v>
      </c>
      <c r="L33" s="31"/>
      <c r="M33" s="31"/>
      <c r="N33" s="176">
        <v>6096.53</v>
      </c>
      <c r="O33" s="127">
        <f t="shared" si="4"/>
        <v>6401.3564999999999</v>
      </c>
    </row>
    <row r="34" spans="1:15" s="30" customFormat="1" ht="20.100000000000001" customHeight="1" x14ac:dyDescent="0.25">
      <c r="A34" s="20"/>
      <c r="B34" s="462"/>
      <c r="C34" s="306" t="s">
        <v>14</v>
      </c>
      <c r="D34" s="464" t="s">
        <v>282</v>
      </c>
      <c r="E34" s="466" t="s">
        <v>25</v>
      </c>
      <c r="F34" s="183" t="s">
        <v>235</v>
      </c>
      <c r="G34" s="147" t="s">
        <v>201</v>
      </c>
      <c r="H34" s="467">
        <v>5.4</v>
      </c>
      <c r="I34" s="462" t="s">
        <v>26</v>
      </c>
      <c r="J34" s="136">
        <f t="shared" si="1"/>
        <v>1331.09</v>
      </c>
      <c r="K34" s="135">
        <f t="shared" si="0"/>
        <v>1331.09</v>
      </c>
      <c r="L34" s="31"/>
      <c r="M34" s="31"/>
      <c r="N34" s="176">
        <v>1331.09</v>
      </c>
      <c r="O34" s="127">
        <f t="shared" si="4"/>
        <v>1397.6444999999999</v>
      </c>
    </row>
    <row r="35" spans="1:15" s="30" customFormat="1" ht="20.100000000000001" customHeight="1" x14ac:dyDescent="0.25">
      <c r="A35" s="20"/>
      <c r="B35" s="462"/>
      <c r="C35" s="306" t="s">
        <v>14</v>
      </c>
      <c r="D35" s="464"/>
      <c r="E35" s="466"/>
      <c r="F35" s="183" t="s">
        <v>261</v>
      </c>
      <c r="G35" s="147" t="s">
        <v>119</v>
      </c>
      <c r="H35" s="467"/>
      <c r="I35" s="462"/>
      <c r="J35" s="148">
        <f t="shared" si="1"/>
        <v>1440.37</v>
      </c>
      <c r="K35" s="135">
        <f t="shared" si="0"/>
        <v>1440.37</v>
      </c>
      <c r="L35" s="31"/>
      <c r="M35" s="31"/>
      <c r="N35" s="176">
        <v>1440.37</v>
      </c>
      <c r="O35" s="127">
        <f t="shared" si="4"/>
        <v>1512.3885</v>
      </c>
    </row>
    <row r="36" spans="1:15" s="30" customFormat="1" ht="20.100000000000001" customHeight="1" x14ac:dyDescent="0.25">
      <c r="A36" s="20"/>
      <c r="B36" s="462"/>
      <c r="C36" s="306" t="s">
        <v>14</v>
      </c>
      <c r="D36" s="464"/>
      <c r="E36" s="466"/>
      <c r="F36" s="183" t="s">
        <v>240</v>
      </c>
      <c r="G36" s="147" t="s">
        <v>120</v>
      </c>
      <c r="H36" s="467"/>
      <c r="I36" s="462"/>
      <c r="J36" s="148">
        <f t="shared" si="1"/>
        <v>1515.05</v>
      </c>
      <c r="K36" s="135">
        <f t="shared" si="0"/>
        <v>1515.05</v>
      </c>
      <c r="L36" s="31"/>
      <c r="M36" s="31"/>
      <c r="N36" s="177">
        <v>1515.05</v>
      </c>
      <c r="O36" s="127">
        <f t="shared" si="4"/>
        <v>1590.8025</v>
      </c>
    </row>
    <row r="37" spans="1:15" s="30" customFormat="1" ht="20.100000000000001" customHeight="1" x14ac:dyDescent="0.25">
      <c r="A37" s="20"/>
      <c r="B37" s="462"/>
      <c r="C37" s="306" t="s">
        <v>2</v>
      </c>
      <c r="D37" s="464" t="s">
        <v>32</v>
      </c>
      <c r="E37" s="466" t="s">
        <v>25</v>
      </c>
      <c r="F37" s="183" t="s">
        <v>237</v>
      </c>
      <c r="G37" s="147" t="s">
        <v>201</v>
      </c>
      <c r="H37" s="467">
        <v>5</v>
      </c>
      <c r="I37" s="462" t="s">
        <v>26</v>
      </c>
      <c r="J37" s="136">
        <f t="shared" si="1"/>
        <v>3267.15</v>
      </c>
      <c r="K37" s="135">
        <f t="shared" si="0"/>
        <v>3267.15</v>
      </c>
      <c r="L37" s="31"/>
      <c r="M37" s="31"/>
      <c r="N37" s="176">
        <v>3267.15</v>
      </c>
      <c r="O37" s="127">
        <f t="shared" si="4"/>
        <v>3430.5075000000002</v>
      </c>
    </row>
    <row r="38" spans="1:15" s="30" customFormat="1" ht="20.100000000000001" customHeight="1" x14ac:dyDescent="0.25">
      <c r="A38" s="20"/>
      <c r="B38" s="462"/>
      <c r="C38" s="306" t="s">
        <v>2</v>
      </c>
      <c r="D38" s="464"/>
      <c r="E38" s="466"/>
      <c r="F38" s="183" t="s">
        <v>263</v>
      </c>
      <c r="G38" s="147" t="s">
        <v>119</v>
      </c>
      <c r="H38" s="467"/>
      <c r="I38" s="462"/>
      <c r="J38" s="136">
        <f t="shared" si="1"/>
        <v>3524.86</v>
      </c>
      <c r="K38" s="135">
        <f t="shared" ref="K38:K69" si="8">IF($K$2=$N$2,N38,O38)</f>
        <v>3524.86</v>
      </c>
      <c r="L38" s="31"/>
      <c r="M38" s="31"/>
      <c r="N38" s="176">
        <v>3524.86</v>
      </c>
      <c r="O38" s="127">
        <f t="shared" si="4"/>
        <v>3701.1030000000001</v>
      </c>
    </row>
    <row r="39" spans="1:15" s="30" customFormat="1" ht="20.100000000000001" customHeight="1" x14ac:dyDescent="0.25">
      <c r="A39" s="20"/>
      <c r="B39" s="462"/>
      <c r="C39" s="306" t="s">
        <v>2</v>
      </c>
      <c r="D39" s="464"/>
      <c r="E39" s="466" t="s">
        <v>27</v>
      </c>
      <c r="F39" s="183" t="s">
        <v>252</v>
      </c>
      <c r="G39" s="147" t="s">
        <v>202</v>
      </c>
      <c r="H39" s="467"/>
      <c r="I39" s="462"/>
      <c r="J39" s="136">
        <f t="shared" si="1"/>
        <v>4500.87</v>
      </c>
      <c r="K39" s="135">
        <f t="shared" si="8"/>
        <v>4500.87</v>
      </c>
      <c r="L39" s="31"/>
      <c r="M39" s="31"/>
      <c r="N39" s="177">
        <v>4500.87</v>
      </c>
      <c r="O39" s="127">
        <f t="shared" si="4"/>
        <v>4725.9134999999997</v>
      </c>
    </row>
    <row r="40" spans="1:15" s="30" customFormat="1" ht="20.100000000000001" customHeight="1" x14ac:dyDescent="0.25">
      <c r="A40" s="20"/>
      <c r="B40" s="462"/>
      <c r="C40" s="306" t="s">
        <v>2</v>
      </c>
      <c r="D40" s="464"/>
      <c r="E40" s="466"/>
      <c r="F40" s="183" t="s">
        <v>414</v>
      </c>
      <c r="G40" s="147" t="s">
        <v>120</v>
      </c>
      <c r="H40" s="467"/>
      <c r="I40" s="462"/>
      <c r="J40" s="136">
        <f t="shared" si="1"/>
        <v>4500.87</v>
      </c>
      <c r="K40" s="135">
        <f t="shared" si="8"/>
        <v>4500.87</v>
      </c>
      <c r="L40" s="31"/>
      <c r="M40" s="31"/>
      <c r="N40" s="181">
        <v>4500.87</v>
      </c>
      <c r="O40" s="140">
        <f t="shared" si="4"/>
        <v>4725.9134999999997</v>
      </c>
    </row>
    <row r="41" spans="1:15" s="30" customFormat="1" ht="20.100000000000001" customHeight="1" x14ac:dyDescent="0.25">
      <c r="A41" s="20"/>
      <c r="B41" s="462"/>
      <c r="C41" s="306" t="s">
        <v>2</v>
      </c>
      <c r="D41" s="464"/>
      <c r="E41" s="466"/>
      <c r="F41" s="183" t="s">
        <v>245</v>
      </c>
      <c r="G41" s="147" t="s">
        <v>28</v>
      </c>
      <c r="H41" s="467"/>
      <c r="I41" s="462"/>
      <c r="J41" s="136">
        <f t="shared" ref="J41:J43" si="9">K41-K41*$K$3</f>
        <v>4500.87</v>
      </c>
      <c r="K41" s="135">
        <f t="shared" si="8"/>
        <v>4500.87</v>
      </c>
      <c r="L41" s="31"/>
      <c r="M41" s="31"/>
      <c r="N41" s="181">
        <v>4500.87</v>
      </c>
      <c r="O41" s="140">
        <f t="shared" ref="O41:O43" si="10">N41*1.05</f>
        <v>4725.9134999999997</v>
      </c>
    </row>
    <row r="42" spans="1:15" s="30" customFormat="1" ht="20.100000000000001" customHeight="1" x14ac:dyDescent="0.25">
      <c r="A42" s="20"/>
      <c r="B42" s="462"/>
      <c r="C42" s="306" t="s">
        <v>2</v>
      </c>
      <c r="D42" s="464"/>
      <c r="E42" s="466"/>
      <c r="F42" s="183" t="s">
        <v>249</v>
      </c>
      <c r="G42" s="147" t="s">
        <v>29</v>
      </c>
      <c r="H42" s="467"/>
      <c r="I42" s="462"/>
      <c r="J42" s="136">
        <f t="shared" si="9"/>
        <v>4500.87</v>
      </c>
      <c r="K42" s="135">
        <f t="shared" si="8"/>
        <v>4500.87</v>
      </c>
      <c r="L42" s="31"/>
      <c r="M42" s="31"/>
      <c r="N42" s="181">
        <v>4500.87</v>
      </c>
      <c r="O42" s="140">
        <f t="shared" si="10"/>
        <v>4725.9134999999997</v>
      </c>
    </row>
    <row r="43" spans="1:15" s="30" customFormat="1" ht="20.100000000000001" customHeight="1" x14ac:dyDescent="0.25">
      <c r="A43" s="20"/>
      <c r="B43" s="462"/>
      <c r="C43" s="306" t="s">
        <v>2</v>
      </c>
      <c r="D43" s="464"/>
      <c r="E43" s="466"/>
      <c r="F43" s="183" t="s">
        <v>408</v>
      </c>
      <c r="G43" s="147" t="s">
        <v>203</v>
      </c>
      <c r="H43" s="467"/>
      <c r="I43" s="462"/>
      <c r="J43" s="136">
        <f t="shared" si="9"/>
        <v>4500.87</v>
      </c>
      <c r="K43" s="135">
        <f t="shared" si="8"/>
        <v>4500.87</v>
      </c>
      <c r="L43" s="31"/>
      <c r="M43" s="31"/>
      <c r="N43" s="181">
        <v>4500.87</v>
      </c>
      <c r="O43" s="140">
        <f t="shared" si="10"/>
        <v>4725.9134999999997</v>
      </c>
    </row>
    <row r="44" spans="1:15" s="30" customFormat="1" ht="20.100000000000001" customHeight="1" x14ac:dyDescent="0.25">
      <c r="A44" s="20"/>
      <c r="B44" s="462"/>
      <c r="C44" s="306" t="s">
        <v>2</v>
      </c>
      <c r="D44" s="464"/>
      <c r="E44" s="466"/>
      <c r="F44" s="183" t="s">
        <v>258</v>
      </c>
      <c r="G44" s="147" t="s">
        <v>407</v>
      </c>
      <c r="H44" s="467"/>
      <c r="I44" s="462"/>
      <c r="J44" s="136">
        <f>K44-K44*$K$3</f>
        <v>4500.87</v>
      </c>
      <c r="K44" s="135">
        <f t="shared" si="8"/>
        <v>4500.87</v>
      </c>
      <c r="L44" s="31"/>
      <c r="M44" s="31"/>
      <c r="N44" s="181">
        <v>4500.87</v>
      </c>
      <c r="O44" s="140">
        <f>N44*1.05</f>
        <v>4725.9134999999997</v>
      </c>
    </row>
    <row r="45" spans="1:15" s="30" customFormat="1" ht="20.100000000000001" customHeight="1" x14ac:dyDescent="0.25">
      <c r="A45" s="20"/>
      <c r="B45" s="462"/>
      <c r="C45" s="306" t="s">
        <v>2</v>
      </c>
      <c r="D45" s="464"/>
      <c r="E45" s="466"/>
      <c r="F45" s="183" t="s">
        <v>426</v>
      </c>
      <c r="G45" s="147" t="s">
        <v>405</v>
      </c>
      <c r="H45" s="467"/>
      <c r="I45" s="462"/>
      <c r="J45" s="136">
        <f t="shared" ref="J45:J49" si="11">K45-K45*$K$3</f>
        <v>4500.87</v>
      </c>
      <c r="K45" s="135">
        <f t="shared" si="8"/>
        <v>4500.87</v>
      </c>
      <c r="L45" s="31"/>
      <c r="M45" s="31"/>
      <c r="N45" s="181">
        <v>4500.87</v>
      </c>
      <c r="O45" s="140">
        <f t="shared" ref="O45:O49" si="12">N45*1.05</f>
        <v>4725.9134999999997</v>
      </c>
    </row>
    <row r="46" spans="1:15" s="30" customFormat="1" ht="20.100000000000001" customHeight="1" x14ac:dyDescent="0.25">
      <c r="A46" s="20"/>
      <c r="B46" s="462"/>
      <c r="C46" s="306" t="s">
        <v>2</v>
      </c>
      <c r="D46" s="464"/>
      <c r="E46" s="466"/>
      <c r="F46" s="183" t="s">
        <v>412</v>
      </c>
      <c r="G46" s="147" t="s">
        <v>402</v>
      </c>
      <c r="H46" s="467"/>
      <c r="I46" s="462"/>
      <c r="J46" s="136">
        <f t="shared" si="11"/>
        <v>4500.87</v>
      </c>
      <c r="K46" s="135">
        <f t="shared" si="8"/>
        <v>4500.87</v>
      </c>
      <c r="L46" s="31"/>
      <c r="M46" s="31"/>
      <c r="N46" s="181">
        <v>4500.87</v>
      </c>
      <c r="O46" s="140">
        <f t="shared" si="12"/>
        <v>4725.9134999999997</v>
      </c>
    </row>
    <row r="47" spans="1:15" s="30" customFormat="1" ht="20.100000000000001" customHeight="1" x14ac:dyDescent="0.25">
      <c r="A47" s="20"/>
      <c r="B47" s="462"/>
      <c r="C47" s="306" t="s">
        <v>2</v>
      </c>
      <c r="D47" s="464"/>
      <c r="E47" s="466"/>
      <c r="F47" s="183" t="s">
        <v>423</v>
      </c>
      <c r="G47" s="147" t="s">
        <v>406</v>
      </c>
      <c r="H47" s="467"/>
      <c r="I47" s="462"/>
      <c r="J47" s="136">
        <f t="shared" si="11"/>
        <v>4500.87</v>
      </c>
      <c r="K47" s="135">
        <f t="shared" si="8"/>
        <v>4500.87</v>
      </c>
      <c r="L47" s="31"/>
      <c r="M47" s="31"/>
      <c r="N47" s="181">
        <v>4500.87</v>
      </c>
      <c r="O47" s="140">
        <f t="shared" si="12"/>
        <v>4725.9134999999997</v>
      </c>
    </row>
    <row r="48" spans="1:15" s="30" customFormat="1" ht="20.100000000000001" customHeight="1" x14ac:dyDescent="0.25">
      <c r="A48" s="20"/>
      <c r="B48" s="462"/>
      <c r="C48" s="306" t="s">
        <v>2</v>
      </c>
      <c r="D48" s="464"/>
      <c r="E48" s="466"/>
      <c r="F48" s="183" t="s">
        <v>419</v>
      </c>
      <c r="G48" s="147" t="s">
        <v>404</v>
      </c>
      <c r="H48" s="467"/>
      <c r="I48" s="462"/>
      <c r="J48" s="136">
        <f t="shared" si="11"/>
        <v>4500.87</v>
      </c>
      <c r="K48" s="135">
        <f t="shared" si="8"/>
        <v>4500.87</v>
      </c>
      <c r="L48" s="31"/>
      <c r="M48" s="31"/>
      <c r="N48" s="181">
        <v>4500.87</v>
      </c>
      <c r="O48" s="140">
        <f t="shared" si="12"/>
        <v>4725.9134999999997</v>
      </c>
    </row>
    <row r="49" spans="1:15" s="30" customFormat="1" ht="20.100000000000001" customHeight="1" x14ac:dyDescent="0.25">
      <c r="A49" s="20"/>
      <c r="B49" s="462"/>
      <c r="C49" s="306" t="s">
        <v>2</v>
      </c>
      <c r="D49" s="464"/>
      <c r="E49" s="466"/>
      <c r="F49" s="309" t="s">
        <v>416</v>
      </c>
      <c r="G49" s="147" t="s">
        <v>403</v>
      </c>
      <c r="H49" s="467"/>
      <c r="I49" s="462"/>
      <c r="J49" s="136">
        <f t="shared" si="11"/>
        <v>4500.87</v>
      </c>
      <c r="K49" s="135">
        <f t="shared" si="8"/>
        <v>4500.87</v>
      </c>
      <c r="L49" s="31"/>
      <c r="M49" s="31"/>
      <c r="N49" s="309">
        <v>4500.87</v>
      </c>
      <c r="O49" s="140">
        <f t="shared" si="12"/>
        <v>4725.9134999999997</v>
      </c>
    </row>
    <row r="50" spans="1:15" s="30" customFormat="1" ht="20.100000000000001" customHeight="1" x14ac:dyDescent="0.25">
      <c r="A50" s="20"/>
      <c r="B50" s="462"/>
      <c r="C50" s="306" t="s">
        <v>387</v>
      </c>
      <c r="D50" s="464" t="s">
        <v>212</v>
      </c>
      <c r="E50" s="466" t="s">
        <v>25</v>
      </c>
      <c r="F50" s="183" t="s">
        <v>238</v>
      </c>
      <c r="G50" s="147" t="s">
        <v>201</v>
      </c>
      <c r="H50" s="467">
        <v>5</v>
      </c>
      <c r="I50" s="462" t="s">
        <v>26</v>
      </c>
      <c r="J50" s="136">
        <f t="shared" si="1"/>
        <v>3828.23</v>
      </c>
      <c r="K50" s="135">
        <f t="shared" si="8"/>
        <v>3828.23</v>
      </c>
      <c r="L50" s="31"/>
      <c r="M50" s="31"/>
      <c r="N50" s="176">
        <v>3828.23</v>
      </c>
      <c r="O50" s="127">
        <f t="shared" si="4"/>
        <v>4019.6415000000002</v>
      </c>
    </row>
    <row r="51" spans="1:15" s="30" customFormat="1" ht="20.100000000000001" customHeight="1" x14ac:dyDescent="0.25">
      <c r="A51" s="20"/>
      <c r="B51" s="462"/>
      <c r="C51" s="306" t="s">
        <v>387</v>
      </c>
      <c r="D51" s="464"/>
      <c r="E51" s="466"/>
      <c r="F51" s="183" t="s">
        <v>264</v>
      </c>
      <c r="G51" s="147" t="s">
        <v>119</v>
      </c>
      <c r="H51" s="467"/>
      <c r="I51" s="462"/>
      <c r="J51" s="136">
        <f t="shared" si="1"/>
        <v>4119.82</v>
      </c>
      <c r="K51" s="135">
        <f t="shared" si="8"/>
        <v>4119.82</v>
      </c>
      <c r="L51" s="31"/>
      <c r="M51" s="31"/>
      <c r="N51" s="176">
        <v>4119.82</v>
      </c>
      <c r="O51" s="127">
        <f t="shared" si="4"/>
        <v>4325.8109999999997</v>
      </c>
    </row>
    <row r="52" spans="1:15" s="30" customFormat="1" ht="20.100000000000001" customHeight="1" x14ac:dyDescent="0.25">
      <c r="A52" s="20"/>
      <c r="B52" s="462"/>
      <c r="C52" s="306" t="s">
        <v>387</v>
      </c>
      <c r="D52" s="464"/>
      <c r="E52" s="466" t="s">
        <v>27</v>
      </c>
      <c r="F52" s="183" t="s">
        <v>253</v>
      </c>
      <c r="G52" s="147" t="s">
        <v>202</v>
      </c>
      <c r="H52" s="467"/>
      <c r="I52" s="462"/>
      <c r="J52" s="136">
        <f t="shared" ref="J52" si="13">K52-K52*$K$3</f>
        <v>5512.44</v>
      </c>
      <c r="K52" s="135">
        <f t="shared" si="8"/>
        <v>5512.44</v>
      </c>
      <c r="L52" s="31"/>
      <c r="M52" s="31"/>
      <c r="N52" s="177">
        <v>5512.44</v>
      </c>
      <c r="O52" s="127">
        <f t="shared" si="4"/>
        <v>5788.0619999999999</v>
      </c>
    </row>
    <row r="53" spans="1:15" s="30" customFormat="1" ht="20.100000000000001" customHeight="1" x14ac:dyDescent="0.25">
      <c r="A53" s="20"/>
      <c r="B53" s="462"/>
      <c r="C53" s="306" t="s">
        <v>387</v>
      </c>
      <c r="D53" s="464"/>
      <c r="E53" s="466"/>
      <c r="F53" s="183" t="s">
        <v>242</v>
      </c>
      <c r="G53" s="147" t="s">
        <v>120</v>
      </c>
      <c r="H53" s="467"/>
      <c r="I53" s="462"/>
      <c r="J53" s="136">
        <f t="shared" si="1"/>
        <v>5512.44</v>
      </c>
      <c r="K53" s="135">
        <f t="shared" si="8"/>
        <v>5512.44</v>
      </c>
      <c r="L53" s="31"/>
      <c r="M53" s="31"/>
      <c r="N53" s="181">
        <v>5512.44</v>
      </c>
      <c r="O53" s="140">
        <f t="shared" si="4"/>
        <v>5788.0619999999999</v>
      </c>
    </row>
    <row r="54" spans="1:15" s="30" customFormat="1" ht="20.100000000000001" customHeight="1" x14ac:dyDescent="0.25">
      <c r="A54" s="20"/>
      <c r="B54" s="462"/>
      <c r="C54" s="306" t="s">
        <v>387</v>
      </c>
      <c r="D54" s="464"/>
      <c r="E54" s="466"/>
      <c r="F54" s="183" t="s">
        <v>246</v>
      </c>
      <c r="G54" s="147" t="s">
        <v>28</v>
      </c>
      <c r="H54" s="467"/>
      <c r="I54" s="462"/>
      <c r="J54" s="136">
        <f t="shared" ref="J54:J56" si="14">K54-K54*$K$3</f>
        <v>5512.44</v>
      </c>
      <c r="K54" s="135">
        <f t="shared" si="8"/>
        <v>5512.44</v>
      </c>
      <c r="L54" s="31"/>
      <c r="M54" s="31"/>
      <c r="N54" s="181">
        <v>5512.44</v>
      </c>
      <c r="O54" s="140">
        <f t="shared" ref="O54:O56" si="15">N54*1.05</f>
        <v>5788.0619999999999</v>
      </c>
    </row>
    <row r="55" spans="1:15" s="30" customFormat="1" ht="20.100000000000001" customHeight="1" x14ac:dyDescent="0.25">
      <c r="A55" s="20"/>
      <c r="B55" s="462"/>
      <c r="C55" s="306" t="s">
        <v>387</v>
      </c>
      <c r="D55" s="464"/>
      <c r="E55" s="466"/>
      <c r="F55" s="183" t="s">
        <v>250</v>
      </c>
      <c r="G55" s="147" t="s">
        <v>29</v>
      </c>
      <c r="H55" s="467"/>
      <c r="I55" s="462"/>
      <c r="J55" s="136">
        <f t="shared" si="14"/>
        <v>5512.44</v>
      </c>
      <c r="K55" s="135">
        <f t="shared" si="8"/>
        <v>5512.44</v>
      </c>
      <c r="L55" s="31"/>
      <c r="M55" s="31"/>
      <c r="N55" s="181">
        <v>5512.44</v>
      </c>
      <c r="O55" s="140">
        <f t="shared" si="15"/>
        <v>5788.0619999999999</v>
      </c>
    </row>
    <row r="56" spans="1:15" s="30" customFormat="1" ht="20.100000000000001" customHeight="1" x14ac:dyDescent="0.25">
      <c r="A56" s="20"/>
      <c r="B56" s="462"/>
      <c r="C56" s="306" t="s">
        <v>387</v>
      </c>
      <c r="D56" s="464"/>
      <c r="E56" s="466"/>
      <c r="F56" s="183" t="s">
        <v>409</v>
      </c>
      <c r="G56" s="147" t="s">
        <v>203</v>
      </c>
      <c r="H56" s="467"/>
      <c r="I56" s="462"/>
      <c r="J56" s="136">
        <f t="shared" si="14"/>
        <v>5512.44</v>
      </c>
      <c r="K56" s="135">
        <f t="shared" si="8"/>
        <v>5512.44</v>
      </c>
      <c r="L56" s="31"/>
      <c r="M56" s="31"/>
      <c r="N56" s="181">
        <v>5512.44</v>
      </c>
      <c r="O56" s="140">
        <f t="shared" si="15"/>
        <v>5788.0619999999999</v>
      </c>
    </row>
    <row r="57" spans="1:15" s="30" customFormat="1" ht="20.100000000000001" customHeight="1" x14ac:dyDescent="0.25">
      <c r="A57" s="20"/>
      <c r="B57" s="462"/>
      <c r="C57" s="306" t="s">
        <v>387</v>
      </c>
      <c r="D57" s="464"/>
      <c r="E57" s="466"/>
      <c r="F57" s="183" t="s">
        <v>259</v>
      </c>
      <c r="G57" s="147" t="s">
        <v>407</v>
      </c>
      <c r="H57" s="467"/>
      <c r="I57" s="462"/>
      <c r="J57" s="136">
        <f>K57-K57*$K$3</f>
        <v>5512.44</v>
      </c>
      <c r="K57" s="135">
        <f t="shared" si="8"/>
        <v>5512.44</v>
      </c>
      <c r="L57" s="31"/>
      <c r="M57" s="31"/>
      <c r="N57" s="181">
        <v>5512.44</v>
      </c>
      <c r="O57" s="140">
        <f>N57*1.05</f>
        <v>5788.0619999999999</v>
      </c>
    </row>
    <row r="58" spans="1:15" s="30" customFormat="1" ht="20.100000000000001" customHeight="1" x14ac:dyDescent="0.25">
      <c r="A58" s="20"/>
      <c r="B58" s="462"/>
      <c r="C58" s="306" t="s">
        <v>387</v>
      </c>
      <c r="D58" s="464"/>
      <c r="E58" s="466"/>
      <c r="F58" s="183" t="s">
        <v>427</v>
      </c>
      <c r="G58" s="147" t="s">
        <v>405</v>
      </c>
      <c r="H58" s="467"/>
      <c r="I58" s="462"/>
      <c r="J58" s="136">
        <f t="shared" ref="J58:J62" si="16">K58-K58*$K$3</f>
        <v>5512.44</v>
      </c>
      <c r="K58" s="135">
        <f t="shared" si="8"/>
        <v>5512.44</v>
      </c>
      <c r="L58" s="31"/>
      <c r="M58" s="31"/>
      <c r="N58" s="181">
        <v>5512.44</v>
      </c>
      <c r="O58" s="140">
        <f t="shared" ref="O58:O62" si="17">N58*1.05</f>
        <v>5788.0619999999999</v>
      </c>
    </row>
    <row r="59" spans="1:15" s="30" customFormat="1" ht="20.100000000000001" customHeight="1" x14ac:dyDescent="0.25">
      <c r="A59" s="20"/>
      <c r="B59" s="462"/>
      <c r="C59" s="306" t="s">
        <v>387</v>
      </c>
      <c r="D59" s="464"/>
      <c r="E59" s="466"/>
      <c r="F59" s="183" t="s">
        <v>413</v>
      </c>
      <c r="G59" s="147" t="s">
        <v>402</v>
      </c>
      <c r="H59" s="467"/>
      <c r="I59" s="462"/>
      <c r="J59" s="136">
        <f t="shared" si="16"/>
        <v>5512.44</v>
      </c>
      <c r="K59" s="135">
        <f t="shared" si="8"/>
        <v>5512.44</v>
      </c>
      <c r="L59" s="31"/>
      <c r="M59" s="31"/>
      <c r="N59" s="181">
        <v>5512.44</v>
      </c>
      <c r="O59" s="140">
        <f t="shared" si="17"/>
        <v>5788.0619999999999</v>
      </c>
    </row>
    <row r="60" spans="1:15" s="30" customFormat="1" ht="20.100000000000001" customHeight="1" x14ac:dyDescent="0.25">
      <c r="A60" s="20"/>
      <c r="B60" s="462"/>
      <c r="C60" s="306" t="s">
        <v>387</v>
      </c>
      <c r="D60" s="464"/>
      <c r="E60" s="466"/>
      <c r="F60" s="183" t="s">
        <v>424</v>
      </c>
      <c r="G60" s="147" t="s">
        <v>406</v>
      </c>
      <c r="H60" s="467"/>
      <c r="I60" s="462"/>
      <c r="J60" s="136">
        <f t="shared" si="16"/>
        <v>5512.44</v>
      </c>
      <c r="K60" s="135">
        <f t="shared" si="8"/>
        <v>5512.44</v>
      </c>
      <c r="L60" s="31"/>
      <c r="M60" s="31"/>
      <c r="N60" s="181">
        <v>5512.44</v>
      </c>
      <c r="O60" s="140">
        <f t="shared" si="17"/>
        <v>5788.0619999999999</v>
      </c>
    </row>
    <row r="61" spans="1:15" s="30" customFormat="1" ht="20.100000000000001" customHeight="1" x14ac:dyDescent="0.25">
      <c r="A61" s="20"/>
      <c r="B61" s="462"/>
      <c r="C61" s="306" t="s">
        <v>387</v>
      </c>
      <c r="D61" s="464"/>
      <c r="E61" s="466"/>
      <c r="F61" s="183" t="s">
        <v>420</v>
      </c>
      <c r="G61" s="147" t="s">
        <v>404</v>
      </c>
      <c r="H61" s="467"/>
      <c r="I61" s="462"/>
      <c r="J61" s="136">
        <f t="shared" si="16"/>
        <v>5512.44</v>
      </c>
      <c r="K61" s="135">
        <f t="shared" si="8"/>
        <v>5512.44</v>
      </c>
      <c r="L61" s="31"/>
      <c r="M61" s="31"/>
      <c r="N61" s="181">
        <v>5512.44</v>
      </c>
      <c r="O61" s="140">
        <f t="shared" si="17"/>
        <v>5788.0619999999999</v>
      </c>
    </row>
    <row r="62" spans="1:15" s="30" customFormat="1" ht="20.100000000000001" customHeight="1" x14ac:dyDescent="0.25">
      <c r="A62" s="20"/>
      <c r="B62" s="462"/>
      <c r="C62" s="306" t="s">
        <v>387</v>
      </c>
      <c r="D62" s="464"/>
      <c r="E62" s="466"/>
      <c r="F62" s="309" t="s">
        <v>417</v>
      </c>
      <c r="G62" s="147" t="s">
        <v>403</v>
      </c>
      <c r="H62" s="467"/>
      <c r="I62" s="462"/>
      <c r="J62" s="136">
        <f t="shared" si="16"/>
        <v>5512.44</v>
      </c>
      <c r="K62" s="135">
        <f t="shared" si="8"/>
        <v>5512.44</v>
      </c>
      <c r="L62" s="31"/>
      <c r="M62" s="31"/>
      <c r="N62" s="309">
        <v>5512.44</v>
      </c>
      <c r="O62" s="140">
        <f t="shared" si="17"/>
        <v>5788.0619999999999</v>
      </c>
    </row>
    <row r="63" spans="1:15" s="30" customFormat="1" ht="20.100000000000001" customHeight="1" x14ac:dyDescent="0.25">
      <c r="A63" s="20"/>
      <c r="B63" s="462"/>
      <c r="C63" s="306" t="s">
        <v>385</v>
      </c>
      <c r="D63" s="464" t="s">
        <v>33</v>
      </c>
      <c r="E63" s="466" t="s">
        <v>25</v>
      </c>
      <c r="F63" s="183" t="s">
        <v>236</v>
      </c>
      <c r="G63" s="147" t="s">
        <v>201</v>
      </c>
      <c r="H63" s="467">
        <v>5.4</v>
      </c>
      <c r="I63" s="462" t="s">
        <v>26</v>
      </c>
      <c r="J63" s="136">
        <f t="shared" si="1"/>
        <v>3191.28</v>
      </c>
      <c r="K63" s="137">
        <f t="shared" si="8"/>
        <v>3191.28</v>
      </c>
      <c r="L63" s="31"/>
      <c r="M63" s="31"/>
      <c r="N63" s="176">
        <v>3191.28</v>
      </c>
      <c r="O63" s="127">
        <f t="shared" si="4"/>
        <v>3350.8440000000005</v>
      </c>
    </row>
    <row r="64" spans="1:15" s="30" customFormat="1" ht="20.100000000000001" customHeight="1" x14ac:dyDescent="0.25">
      <c r="A64" s="20"/>
      <c r="B64" s="462"/>
      <c r="C64" s="306" t="s">
        <v>385</v>
      </c>
      <c r="D64" s="464"/>
      <c r="E64" s="466"/>
      <c r="F64" s="183" t="s">
        <v>262</v>
      </c>
      <c r="G64" s="147" t="s">
        <v>119</v>
      </c>
      <c r="H64" s="467"/>
      <c r="I64" s="462"/>
      <c r="J64" s="136">
        <f t="shared" si="1"/>
        <v>3452.93</v>
      </c>
      <c r="K64" s="137">
        <f t="shared" si="8"/>
        <v>3452.93</v>
      </c>
      <c r="L64" s="31"/>
      <c r="M64" s="31"/>
      <c r="N64" s="176">
        <v>3452.93</v>
      </c>
      <c r="O64" s="127">
        <f t="shared" si="4"/>
        <v>3625.5765000000001</v>
      </c>
    </row>
    <row r="65" spans="1:15" s="30" customFormat="1" ht="20.100000000000001" customHeight="1" x14ac:dyDescent="0.25">
      <c r="A65" s="20"/>
      <c r="B65" s="462"/>
      <c r="C65" s="306" t="s">
        <v>385</v>
      </c>
      <c r="D65" s="464"/>
      <c r="E65" s="466"/>
      <c r="F65" s="183" t="s">
        <v>241</v>
      </c>
      <c r="G65" s="147" t="s">
        <v>120</v>
      </c>
      <c r="H65" s="467"/>
      <c r="I65" s="462"/>
      <c r="J65" s="136">
        <f t="shared" si="1"/>
        <v>5031.88</v>
      </c>
      <c r="K65" s="137">
        <f t="shared" si="8"/>
        <v>5031.88</v>
      </c>
      <c r="L65" s="31"/>
      <c r="M65" s="31"/>
      <c r="N65" s="181">
        <v>5031.88</v>
      </c>
      <c r="O65" s="140">
        <f t="shared" si="4"/>
        <v>5283.4740000000002</v>
      </c>
    </row>
    <row r="66" spans="1:15" s="30" customFormat="1" ht="20.100000000000001" customHeight="1" x14ac:dyDescent="0.25">
      <c r="A66" s="20"/>
      <c r="B66" s="462"/>
      <c r="C66" s="306" t="s">
        <v>385</v>
      </c>
      <c r="D66" s="464"/>
      <c r="E66" s="466"/>
      <c r="F66" s="183" t="s">
        <v>244</v>
      </c>
      <c r="G66" s="147" t="s">
        <v>28</v>
      </c>
      <c r="H66" s="467"/>
      <c r="I66" s="462"/>
      <c r="J66" s="136">
        <f t="shared" ref="J66:J68" si="18">K66-K66*$K$3</f>
        <v>5031.88</v>
      </c>
      <c r="K66" s="137">
        <f t="shared" si="8"/>
        <v>5031.88</v>
      </c>
      <c r="L66" s="31"/>
      <c r="M66" s="31"/>
      <c r="N66" s="181">
        <v>5031.88</v>
      </c>
      <c r="O66" s="140">
        <f t="shared" ref="O66:O68" si="19">N66*1.05</f>
        <v>5283.4740000000002</v>
      </c>
    </row>
    <row r="67" spans="1:15" s="30" customFormat="1" ht="20.100000000000001" customHeight="1" x14ac:dyDescent="0.25">
      <c r="A67" s="20"/>
      <c r="B67" s="462"/>
      <c r="C67" s="306" t="s">
        <v>385</v>
      </c>
      <c r="D67" s="464"/>
      <c r="E67" s="466"/>
      <c r="F67" s="183" t="s">
        <v>248</v>
      </c>
      <c r="G67" s="147" t="s">
        <v>29</v>
      </c>
      <c r="H67" s="467"/>
      <c r="I67" s="462"/>
      <c r="J67" s="136">
        <f t="shared" si="18"/>
        <v>5031.88</v>
      </c>
      <c r="K67" s="137">
        <f t="shared" si="8"/>
        <v>5031.88</v>
      </c>
      <c r="L67" s="31"/>
      <c r="M67" s="31"/>
      <c r="N67" s="181">
        <v>5031.88</v>
      </c>
      <c r="O67" s="140">
        <f t="shared" si="19"/>
        <v>5283.4740000000002</v>
      </c>
    </row>
    <row r="68" spans="1:15" s="30" customFormat="1" ht="20.100000000000001" customHeight="1" x14ac:dyDescent="0.25">
      <c r="A68" s="20"/>
      <c r="B68" s="462"/>
      <c r="C68" s="306" t="s">
        <v>385</v>
      </c>
      <c r="D68" s="464"/>
      <c r="E68" s="466"/>
      <c r="F68" s="183" t="s">
        <v>255</v>
      </c>
      <c r="G68" s="147" t="s">
        <v>203</v>
      </c>
      <c r="H68" s="467"/>
      <c r="I68" s="462"/>
      <c r="J68" s="136">
        <f t="shared" si="18"/>
        <v>5031.88</v>
      </c>
      <c r="K68" s="137">
        <f t="shared" si="8"/>
        <v>5031.88</v>
      </c>
      <c r="L68" s="31"/>
      <c r="M68" s="31"/>
      <c r="N68" s="181">
        <v>5031.88</v>
      </c>
      <c r="O68" s="140">
        <f t="shared" si="19"/>
        <v>5283.4740000000002</v>
      </c>
    </row>
    <row r="69" spans="1:15" s="30" customFormat="1" ht="20.100000000000001" customHeight="1" x14ac:dyDescent="0.25">
      <c r="A69" s="20"/>
      <c r="B69" s="462"/>
      <c r="C69" s="306" t="s">
        <v>385</v>
      </c>
      <c r="D69" s="464"/>
      <c r="E69" s="466"/>
      <c r="F69" s="183" t="s">
        <v>257</v>
      </c>
      <c r="G69" s="147" t="s">
        <v>407</v>
      </c>
      <c r="H69" s="467"/>
      <c r="I69" s="462"/>
      <c r="J69" s="136">
        <f>K69-K69*$K$3</f>
        <v>5031.88</v>
      </c>
      <c r="K69" s="137">
        <f t="shared" si="8"/>
        <v>5031.88</v>
      </c>
      <c r="L69" s="31"/>
      <c r="M69" s="31"/>
      <c r="N69" s="181">
        <v>5031.88</v>
      </c>
      <c r="O69" s="140">
        <f>N69*1.05</f>
        <v>5283.4740000000002</v>
      </c>
    </row>
    <row r="70" spans="1:15" s="30" customFormat="1" ht="20.100000000000001" customHeight="1" x14ac:dyDescent="0.25">
      <c r="A70" s="20"/>
      <c r="B70" s="462"/>
      <c r="C70" s="306" t="s">
        <v>385</v>
      </c>
      <c r="D70" s="464"/>
      <c r="E70" s="466"/>
      <c r="F70" s="183" t="s">
        <v>411</v>
      </c>
      <c r="G70" s="147" t="s">
        <v>402</v>
      </c>
      <c r="H70" s="467"/>
      <c r="I70" s="462"/>
      <c r="J70" s="136">
        <f t="shared" ref="J70:J71" si="20">K70-K70*$K$3</f>
        <v>5031.88</v>
      </c>
      <c r="K70" s="137">
        <f t="shared" ref="K70:K98" si="21">IF($K$2=$N$2,N70,O70)</f>
        <v>5031.88</v>
      </c>
      <c r="L70" s="31"/>
      <c r="M70" s="31"/>
      <c r="N70" s="181">
        <v>5031.88</v>
      </c>
      <c r="O70" s="140">
        <f t="shared" ref="O70:O71" si="22">N70*1.05</f>
        <v>5283.4740000000002</v>
      </c>
    </row>
    <row r="71" spans="1:15" s="30" customFormat="1" ht="20.100000000000001" customHeight="1" x14ac:dyDescent="0.25">
      <c r="A71" s="20"/>
      <c r="B71" s="462"/>
      <c r="C71" s="306" t="s">
        <v>385</v>
      </c>
      <c r="D71" s="464"/>
      <c r="E71" s="466"/>
      <c r="F71" s="183" t="s">
        <v>422</v>
      </c>
      <c r="G71" s="147" t="s">
        <v>406</v>
      </c>
      <c r="H71" s="467"/>
      <c r="I71" s="462"/>
      <c r="J71" s="136">
        <f t="shared" si="20"/>
        <v>5031.88</v>
      </c>
      <c r="K71" s="137">
        <f t="shared" si="21"/>
        <v>5031.88</v>
      </c>
      <c r="L71" s="31"/>
      <c r="M71" s="31"/>
      <c r="N71" s="181">
        <v>5031.88</v>
      </c>
      <c r="O71" s="140">
        <f t="shared" si="22"/>
        <v>5283.4740000000002</v>
      </c>
    </row>
    <row r="72" spans="1:15" s="30" customFormat="1" ht="20.100000000000001" customHeight="1" x14ac:dyDescent="0.25">
      <c r="A72" s="20"/>
      <c r="B72" s="468"/>
      <c r="C72" s="310" t="s">
        <v>438</v>
      </c>
      <c r="D72" s="471" t="s">
        <v>283</v>
      </c>
      <c r="E72" s="466" t="s">
        <v>25</v>
      </c>
      <c r="F72" s="183" t="s">
        <v>267</v>
      </c>
      <c r="G72" s="147" t="s">
        <v>201</v>
      </c>
      <c r="H72" s="510">
        <v>5.4</v>
      </c>
      <c r="I72" s="468" t="s">
        <v>26</v>
      </c>
      <c r="J72" s="136">
        <f t="shared" si="1"/>
        <v>3483.76</v>
      </c>
      <c r="K72" s="135">
        <f t="shared" si="21"/>
        <v>3483.76</v>
      </c>
      <c r="L72" s="31"/>
      <c r="M72" s="31"/>
      <c r="N72" s="176">
        <v>3483.76</v>
      </c>
      <c r="O72" s="127">
        <f>N72*1.05</f>
        <v>3657.9480000000003</v>
      </c>
    </row>
    <row r="73" spans="1:15" s="30" customFormat="1" ht="20.100000000000001" customHeight="1" x14ac:dyDescent="0.25">
      <c r="A73" s="20"/>
      <c r="B73" s="469"/>
      <c r="C73" s="310" t="s">
        <v>438</v>
      </c>
      <c r="D73" s="472"/>
      <c r="E73" s="466"/>
      <c r="F73" s="183" t="s">
        <v>269</v>
      </c>
      <c r="G73" s="147" t="s">
        <v>119</v>
      </c>
      <c r="H73" s="511"/>
      <c r="I73" s="469"/>
      <c r="J73" s="136">
        <f t="shared" ref="J73:J74" si="23">K73-K73*$K$3</f>
        <v>3513.5</v>
      </c>
      <c r="K73" s="135">
        <f t="shared" si="21"/>
        <v>3513.5</v>
      </c>
      <c r="L73" s="31"/>
      <c r="M73" s="31"/>
      <c r="N73" s="176">
        <v>3513.5</v>
      </c>
      <c r="O73" s="127">
        <f t="shared" ref="O73:O74" si="24">N73*1.05</f>
        <v>3689.1750000000002</v>
      </c>
    </row>
    <row r="74" spans="1:15" s="30" customFormat="1" ht="20.100000000000001" customHeight="1" x14ac:dyDescent="0.25">
      <c r="A74" s="20"/>
      <c r="B74" s="469"/>
      <c r="C74" s="310" t="s">
        <v>438</v>
      </c>
      <c r="D74" s="472"/>
      <c r="E74" s="466"/>
      <c r="F74" s="183" t="s">
        <v>280</v>
      </c>
      <c r="G74" s="147" t="s">
        <v>202</v>
      </c>
      <c r="H74" s="511"/>
      <c r="I74" s="469"/>
      <c r="J74" s="136">
        <f t="shared" si="23"/>
        <v>4643.7299999999996</v>
      </c>
      <c r="K74" s="135">
        <f t="shared" si="21"/>
        <v>4643.7299999999996</v>
      </c>
      <c r="L74" s="31"/>
      <c r="M74" s="31"/>
      <c r="N74" s="177">
        <v>4643.7299999999996</v>
      </c>
      <c r="O74" s="127">
        <f t="shared" si="24"/>
        <v>4875.9164999999994</v>
      </c>
    </row>
    <row r="75" spans="1:15" s="30" customFormat="1" ht="20.100000000000001" customHeight="1" x14ac:dyDescent="0.25">
      <c r="A75" s="20"/>
      <c r="B75" s="469"/>
      <c r="C75" s="310" t="s">
        <v>438</v>
      </c>
      <c r="D75" s="472"/>
      <c r="E75" s="466"/>
      <c r="F75" s="183" t="s">
        <v>272</v>
      </c>
      <c r="G75" s="147" t="s">
        <v>120</v>
      </c>
      <c r="H75" s="511"/>
      <c r="I75" s="469"/>
      <c r="J75" s="136">
        <f t="shared" si="1"/>
        <v>4643.7299999999996</v>
      </c>
      <c r="K75" s="135">
        <f t="shared" si="21"/>
        <v>4643.7299999999996</v>
      </c>
      <c r="L75" s="31"/>
      <c r="M75" s="31"/>
      <c r="N75" s="182">
        <v>4643.7299999999996</v>
      </c>
      <c r="O75" s="140">
        <f t="shared" si="4"/>
        <v>4875.9164999999994</v>
      </c>
    </row>
    <row r="76" spans="1:15" s="30" customFormat="1" ht="20.100000000000001" customHeight="1" x14ac:dyDescent="0.25">
      <c r="A76" s="20"/>
      <c r="B76" s="469"/>
      <c r="C76" s="310" t="s">
        <v>438</v>
      </c>
      <c r="D76" s="472"/>
      <c r="E76" s="466"/>
      <c r="F76" s="183" t="s">
        <v>274</v>
      </c>
      <c r="G76" s="147" t="s">
        <v>28</v>
      </c>
      <c r="H76" s="511"/>
      <c r="I76" s="469"/>
      <c r="J76" s="136">
        <f t="shared" ref="J76:J79" si="25">K76-K76*$K$3</f>
        <v>4643.7299999999996</v>
      </c>
      <c r="K76" s="135">
        <f t="shared" si="21"/>
        <v>4643.7299999999996</v>
      </c>
      <c r="L76" s="31"/>
      <c r="M76" s="31"/>
      <c r="N76" s="182">
        <v>4643.7299999999996</v>
      </c>
      <c r="O76" s="140">
        <f t="shared" ref="O76:O84" si="26">N76*1.05</f>
        <v>4875.9164999999994</v>
      </c>
    </row>
    <row r="77" spans="1:15" s="30" customFormat="1" ht="20.100000000000001" customHeight="1" x14ac:dyDescent="0.25">
      <c r="A77" s="20"/>
      <c r="B77" s="469"/>
      <c r="C77" s="310" t="s">
        <v>438</v>
      </c>
      <c r="D77" s="472"/>
      <c r="E77" s="466"/>
      <c r="F77" s="183" t="s">
        <v>278</v>
      </c>
      <c r="G77" s="147" t="s">
        <v>29</v>
      </c>
      <c r="H77" s="511"/>
      <c r="I77" s="469"/>
      <c r="J77" s="136">
        <f t="shared" si="25"/>
        <v>4643.7299999999996</v>
      </c>
      <c r="K77" s="135">
        <f t="shared" si="21"/>
        <v>4643.7299999999996</v>
      </c>
      <c r="L77" s="31"/>
      <c r="M77" s="31"/>
      <c r="N77" s="182">
        <v>4643.7299999999996</v>
      </c>
      <c r="O77" s="140">
        <f t="shared" si="26"/>
        <v>4875.9164999999994</v>
      </c>
    </row>
    <row r="78" spans="1:15" s="30" customFormat="1" ht="20.100000000000001" customHeight="1" x14ac:dyDescent="0.25">
      <c r="A78" s="20"/>
      <c r="B78" s="469"/>
      <c r="C78" s="310" t="s">
        <v>438</v>
      </c>
      <c r="D78" s="472"/>
      <c r="E78" s="466"/>
      <c r="F78" s="183" t="s">
        <v>270</v>
      </c>
      <c r="G78" s="147" t="s">
        <v>203</v>
      </c>
      <c r="H78" s="511"/>
      <c r="I78" s="469"/>
      <c r="J78" s="136">
        <f t="shared" si="25"/>
        <v>4643.7299999999996</v>
      </c>
      <c r="K78" s="135">
        <f t="shared" si="21"/>
        <v>4643.7299999999996</v>
      </c>
      <c r="L78" s="31"/>
      <c r="M78" s="31"/>
      <c r="N78" s="182">
        <v>4643.7299999999996</v>
      </c>
      <c r="O78" s="140">
        <f t="shared" si="26"/>
        <v>4875.9164999999994</v>
      </c>
    </row>
    <row r="79" spans="1:15" s="30" customFormat="1" ht="20.100000000000001" customHeight="1" x14ac:dyDescent="0.25">
      <c r="A79" s="20"/>
      <c r="B79" s="469"/>
      <c r="C79" s="310" t="s">
        <v>438</v>
      </c>
      <c r="D79" s="472"/>
      <c r="E79" s="466"/>
      <c r="F79" s="183" t="s">
        <v>276</v>
      </c>
      <c r="G79" s="147" t="s">
        <v>407</v>
      </c>
      <c r="H79" s="511"/>
      <c r="I79" s="469"/>
      <c r="J79" s="136">
        <f t="shared" si="25"/>
        <v>4643.7299999999996</v>
      </c>
      <c r="K79" s="135">
        <f t="shared" si="21"/>
        <v>4643.7299999999996</v>
      </c>
      <c r="L79" s="31"/>
      <c r="M79" s="31"/>
      <c r="N79" s="182">
        <v>4643.7299999999996</v>
      </c>
      <c r="O79" s="140">
        <f t="shared" si="26"/>
        <v>4875.9164999999994</v>
      </c>
    </row>
    <row r="80" spans="1:15" s="30" customFormat="1" ht="20.100000000000001" customHeight="1" x14ac:dyDescent="0.25">
      <c r="A80" s="20"/>
      <c r="B80" s="469"/>
      <c r="C80" s="310" t="s">
        <v>438</v>
      </c>
      <c r="D80" s="472"/>
      <c r="E80" s="305"/>
      <c r="F80" s="183" t="s">
        <v>436</v>
      </c>
      <c r="G80" s="147" t="s">
        <v>405</v>
      </c>
      <c r="H80" s="511"/>
      <c r="I80" s="469"/>
      <c r="J80" s="136">
        <f t="shared" ref="J80:J84" si="27">K80-K80*$K$3</f>
        <v>3530.11</v>
      </c>
      <c r="K80" s="135">
        <f t="shared" si="21"/>
        <v>3530.11</v>
      </c>
      <c r="L80" s="31"/>
      <c r="M80" s="31"/>
      <c r="N80" s="182">
        <v>3530.11</v>
      </c>
      <c r="O80" s="140">
        <f t="shared" si="26"/>
        <v>3706.6155000000003</v>
      </c>
    </row>
    <row r="81" spans="1:15" s="30" customFormat="1" ht="20.100000000000001" customHeight="1" x14ac:dyDescent="0.25">
      <c r="A81" s="20"/>
      <c r="B81" s="469"/>
      <c r="C81" s="310" t="s">
        <v>438</v>
      </c>
      <c r="D81" s="472"/>
      <c r="E81" s="305"/>
      <c r="F81" s="183" t="s">
        <v>428</v>
      </c>
      <c r="G81" s="147" t="s">
        <v>402</v>
      </c>
      <c r="H81" s="511"/>
      <c r="I81" s="469"/>
      <c r="J81" s="136">
        <f t="shared" si="27"/>
        <v>4643.7299999999996</v>
      </c>
      <c r="K81" s="135">
        <f t="shared" si="21"/>
        <v>4643.7299999999996</v>
      </c>
      <c r="L81" s="31"/>
      <c r="M81" s="31"/>
      <c r="N81" s="182">
        <v>4643.7299999999996</v>
      </c>
      <c r="O81" s="140">
        <f t="shared" si="26"/>
        <v>4875.9164999999994</v>
      </c>
    </row>
    <row r="82" spans="1:15" s="30" customFormat="1" ht="20.100000000000001" customHeight="1" x14ac:dyDescent="0.25">
      <c r="A82" s="20"/>
      <c r="B82" s="469"/>
      <c r="C82" s="310" t="s">
        <v>438</v>
      </c>
      <c r="D82" s="472"/>
      <c r="E82" s="305"/>
      <c r="F82" s="183" t="s">
        <v>430</v>
      </c>
      <c r="G82" s="147" t="s">
        <v>406</v>
      </c>
      <c r="H82" s="511"/>
      <c r="I82" s="469"/>
      <c r="J82" s="136">
        <f t="shared" si="27"/>
        <v>4643.7299999999996</v>
      </c>
      <c r="K82" s="135">
        <f t="shared" si="21"/>
        <v>4643.7299999999996</v>
      </c>
      <c r="L82" s="31"/>
      <c r="M82" s="31"/>
      <c r="N82" s="182">
        <v>4643.7299999999996</v>
      </c>
      <c r="O82" s="140">
        <f t="shared" si="26"/>
        <v>4875.9164999999994</v>
      </c>
    </row>
    <row r="83" spans="1:15" s="30" customFormat="1" ht="20.100000000000001" customHeight="1" x14ac:dyDescent="0.25">
      <c r="A83" s="20"/>
      <c r="B83" s="469"/>
      <c r="C83" s="310" t="s">
        <v>438</v>
      </c>
      <c r="D83" s="472"/>
      <c r="E83" s="305"/>
      <c r="F83" s="183" t="s">
        <v>434</v>
      </c>
      <c r="G83" s="147" t="s">
        <v>404</v>
      </c>
      <c r="H83" s="511"/>
      <c r="I83" s="469"/>
      <c r="J83" s="136">
        <f t="shared" si="27"/>
        <v>4643.7299999999996</v>
      </c>
      <c r="K83" s="135">
        <f t="shared" si="21"/>
        <v>4643.7299999999996</v>
      </c>
      <c r="L83" s="31"/>
      <c r="M83" s="31"/>
      <c r="N83" s="182">
        <v>4643.7299999999996</v>
      </c>
      <c r="O83" s="140">
        <f t="shared" si="26"/>
        <v>4875.9164999999994</v>
      </c>
    </row>
    <row r="84" spans="1:15" s="30" customFormat="1" ht="20.100000000000001" customHeight="1" x14ac:dyDescent="0.25">
      <c r="A84" s="20"/>
      <c r="B84" s="470"/>
      <c r="C84" s="310" t="s">
        <v>438</v>
      </c>
      <c r="D84" s="473"/>
      <c r="E84" s="305"/>
      <c r="F84" s="183" t="s">
        <v>432</v>
      </c>
      <c r="G84" s="147" t="s">
        <v>403</v>
      </c>
      <c r="H84" s="512"/>
      <c r="I84" s="470"/>
      <c r="J84" s="136">
        <f t="shared" si="27"/>
        <v>4643.7299999999996</v>
      </c>
      <c r="K84" s="135">
        <f t="shared" si="21"/>
        <v>4643.7299999999996</v>
      </c>
      <c r="L84" s="31"/>
      <c r="M84" s="31"/>
      <c r="N84" s="182">
        <v>4643.7299999999996</v>
      </c>
      <c r="O84" s="140">
        <f t="shared" si="26"/>
        <v>4875.9164999999994</v>
      </c>
    </row>
    <row r="85" spans="1:15" s="30" customFormat="1" ht="30" customHeight="1" x14ac:dyDescent="0.25">
      <c r="A85" s="20"/>
      <c r="B85" s="131"/>
      <c r="C85" s="306" t="s">
        <v>5</v>
      </c>
      <c r="D85" s="133" t="s">
        <v>142</v>
      </c>
      <c r="E85" s="129" t="s">
        <v>31</v>
      </c>
      <c r="F85" s="183" t="s">
        <v>266</v>
      </c>
      <c r="G85" s="147" t="s">
        <v>141</v>
      </c>
      <c r="H85" s="130">
        <v>5.4</v>
      </c>
      <c r="I85" s="131" t="s">
        <v>26</v>
      </c>
      <c r="J85" s="136">
        <f t="shared" si="1"/>
        <v>1015.61</v>
      </c>
      <c r="K85" s="135">
        <f t="shared" si="21"/>
        <v>1015.61</v>
      </c>
      <c r="L85" s="31"/>
      <c r="M85" s="31"/>
      <c r="N85" s="176">
        <v>1015.61</v>
      </c>
      <c r="O85" s="127">
        <f t="shared" si="4"/>
        <v>1066.3905</v>
      </c>
    </row>
    <row r="86" spans="1:15" s="30" customFormat="1" ht="20.100000000000001" customHeight="1" x14ac:dyDescent="0.25">
      <c r="A86" s="20"/>
      <c r="B86" s="468"/>
      <c r="C86" s="310" t="s">
        <v>386</v>
      </c>
      <c r="D86" s="471" t="s">
        <v>211</v>
      </c>
      <c r="E86" s="466" t="s">
        <v>31</v>
      </c>
      <c r="F86" s="183" t="s">
        <v>265</v>
      </c>
      <c r="G86" s="147" t="s">
        <v>201</v>
      </c>
      <c r="H86" s="510">
        <v>5.4</v>
      </c>
      <c r="I86" s="468" t="s">
        <v>26</v>
      </c>
      <c r="J86" s="136">
        <f t="shared" si="1"/>
        <v>2136</v>
      </c>
      <c r="K86" s="135">
        <f t="shared" si="21"/>
        <v>2136</v>
      </c>
      <c r="L86" s="31"/>
      <c r="M86" s="31"/>
      <c r="N86" s="176">
        <v>2136</v>
      </c>
      <c r="O86" s="127">
        <f t="shared" si="4"/>
        <v>2242.8000000000002</v>
      </c>
    </row>
    <row r="87" spans="1:15" s="30" customFormat="1" ht="20.100000000000001" customHeight="1" x14ac:dyDescent="0.25">
      <c r="A87" s="20"/>
      <c r="B87" s="469"/>
      <c r="C87" s="310" t="s">
        <v>386</v>
      </c>
      <c r="D87" s="472"/>
      <c r="E87" s="466"/>
      <c r="F87" s="183" t="s">
        <v>268</v>
      </c>
      <c r="G87" s="147" t="s">
        <v>119</v>
      </c>
      <c r="H87" s="511"/>
      <c r="I87" s="469"/>
      <c r="J87" s="136">
        <f t="shared" si="1"/>
        <v>2318.09</v>
      </c>
      <c r="K87" s="135">
        <f t="shared" si="21"/>
        <v>2318.09</v>
      </c>
      <c r="L87" s="31"/>
      <c r="M87" s="31"/>
      <c r="N87" s="176">
        <v>2318.09</v>
      </c>
      <c r="O87" s="127">
        <f t="shared" si="4"/>
        <v>2433.9945000000002</v>
      </c>
    </row>
    <row r="88" spans="1:15" s="30" customFormat="1" ht="20.100000000000001" customHeight="1" x14ac:dyDescent="0.25">
      <c r="A88" s="20"/>
      <c r="B88" s="469"/>
      <c r="C88" s="310" t="s">
        <v>386</v>
      </c>
      <c r="D88" s="472"/>
      <c r="E88" s="466"/>
      <c r="F88" s="183" t="s">
        <v>281</v>
      </c>
      <c r="G88" s="147" t="s">
        <v>202</v>
      </c>
      <c r="H88" s="511"/>
      <c r="I88" s="469"/>
      <c r="J88" s="136">
        <f>K88-K88*$K$3</f>
        <v>2209.34</v>
      </c>
      <c r="K88" s="135">
        <f t="shared" si="21"/>
        <v>2209.34</v>
      </c>
      <c r="L88" s="31"/>
      <c r="M88" s="31"/>
      <c r="N88" s="182">
        <v>2209.34</v>
      </c>
      <c r="O88" s="140">
        <f>N88*1.05</f>
        <v>2319.8070000000002</v>
      </c>
    </row>
    <row r="89" spans="1:15" s="30" customFormat="1" ht="20.100000000000001" customHeight="1" x14ac:dyDescent="0.25">
      <c r="A89" s="20"/>
      <c r="B89" s="469"/>
      <c r="C89" s="310" t="s">
        <v>386</v>
      </c>
      <c r="D89" s="472"/>
      <c r="E89" s="466"/>
      <c r="F89" s="183" t="s">
        <v>273</v>
      </c>
      <c r="G89" s="147" t="s">
        <v>120</v>
      </c>
      <c r="H89" s="511"/>
      <c r="I89" s="469"/>
      <c r="J89" s="136">
        <f t="shared" ref="J89:J93" si="28">K89-K89*$K$3</f>
        <v>2209.34</v>
      </c>
      <c r="K89" s="135">
        <f t="shared" si="21"/>
        <v>2209.34</v>
      </c>
      <c r="L89" s="31"/>
      <c r="M89" s="31"/>
      <c r="N89" s="182">
        <v>2209.34</v>
      </c>
      <c r="O89" s="140">
        <f t="shared" ref="O89:O98" si="29">N89*1.05</f>
        <v>2319.8070000000002</v>
      </c>
    </row>
    <row r="90" spans="1:15" s="30" customFormat="1" ht="20.100000000000001" customHeight="1" x14ac:dyDescent="0.25">
      <c r="A90" s="20"/>
      <c r="B90" s="469"/>
      <c r="C90" s="310" t="s">
        <v>386</v>
      </c>
      <c r="D90" s="472"/>
      <c r="E90" s="466"/>
      <c r="F90" s="183" t="s">
        <v>275</v>
      </c>
      <c r="G90" s="147" t="s">
        <v>28</v>
      </c>
      <c r="H90" s="511"/>
      <c r="I90" s="469"/>
      <c r="J90" s="136">
        <f t="shared" si="28"/>
        <v>2209.34</v>
      </c>
      <c r="K90" s="135">
        <f t="shared" si="21"/>
        <v>2209.34</v>
      </c>
      <c r="L90" s="31"/>
      <c r="M90" s="31"/>
      <c r="N90" s="182">
        <v>2209.34</v>
      </c>
      <c r="O90" s="140">
        <f t="shared" si="29"/>
        <v>2319.8070000000002</v>
      </c>
    </row>
    <row r="91" spans="1:15" s="30" customFormat="1" ht="20.100000000000001" customHeight="1" x14ac:dyDescent="0.25">
      <c r="A91" s="20"/>
      <c r="B91" s="469"/>
      <c r="C91" s="310" t="s">
        <v>386</v>
      </c>
      <c r="D91" s="472"/>
      <c r="E91" s="466"/>
      <c r="F91" s="183" t="s">
        <v>279</v>
      </c>
      <c r="G91" s="147" t="s">
        <v>29</v>
      </c>
      <c r="H91" s="511"/>
      <c r="I91" s="469"/>
      <c r="J91" s="136">
        <f t="shared" si="28"/>
        <v>2209.34</v>
      </c>
      <c r="K91" s="135">
        <f t="shared" si="21"/>
        <v>2209.34</v>
      </c>
      <c r="L91" s="31"/>
      <c r="M91" s="31"/>
      <c r="N91" s="182">
        <v>2209.34</v>
      </c>
      <c r="O91" s="140">
        <f t="shared" si="29"/>
        <v>2319.8070000000002</v>
      </c>
    </row>
    <row r="92" spans="1:15" s="30" customFormat="1" ht="20.100000000000001" customHeight="1" x14ac:dyDescent="0.25">
      <c r="A92" s="20"/>
      <c r="B92" s="469"/>
      <c r="C92" s="310" t="s">
        <v>386</v>
      </c>
      <c r="D92" s="472"/>
      <c r="E92" s="466"/>
      <c r="F92" s="183" t="s">
        <v>271</v>
      </c>
      <c r="G92" s="147" t="s">
        <v>203</v>
      </c>
      <c r="H92" s="511"/>
      <c r="I92" s="469"/>
      <c r="J92" s="136">
        <f t="shared" si="28"/>
        <v>2209.34</v>
      </c>
      <c r="K92" s="135">
        <f t="shared" si="21"/>
        <v>2209.34</v>
      </c>
      <c r="L92" s="31"/>
      <c r="M92" s="31"/>
      <c r="N92" s="182">
        <v>2209.34</v>
      </c>
      <c r="O92" s="140">
        <f t="shared" si="29"/>
        <v>2319.8070000000002</v>
      </c>
    </row>
    <row r="93" spans="1:15" s="30" customFormat="1" ht="20.100000000000001" customHeight="1" x14ac:dyDescent="0.25">
      <c r="A93" s="20"/>
      <c r="B93" s="469"/>
      <c r="C93" s="310" t="s">
        <v>386</v>
      </c>
      <c r="D93" s="472"/>
      <c r="E93" s="466"/>
      <c r="F93" s="183" t="s">
        <v>277</v>
      </c>
      <c r="G93" s="147" t="s">
        <v>407</v>
      </c>
      <c r="H93" s="511"/>
      <c r="I93" s="469"/>
      <c r="J93" s="136">
        <f t="shared" si="28"/>
        <v>2209.34</v>
      </c>
      <c r="K93" s="135">
        <f t="shared" si="21"/>
        <v>2209.34</v>
      </c>
      <c r="L93" s="31"/>
      <c r="M93" s="31"/>
      <c r="N93" s="182">
        <v>2209.34</v>
      </c>
      <c r="O93" s="140">
        <f t="shared" si="29"/>
        <v>2319.8070000000002</v>
      </c>
    </row>
    <row r="94" spans="1:15" s="30" customFormat="1" ht="20.100000000000001" customHeight="1" x14ac:dyDescent="0.25">
      <c r="A94" s="20"/>
      <c r="B94" s="469"/>
      <c r="C94" s="310" t="s">
        <v>386</v>
      </c>
      <c r="D94" s="472"/>
      <c r="E94" s="305"/>
      <c r="F94" s="183" t="s">
        <v>437</v>
      </c>
      <c r="G94" s="147" t="s">
        <v>405</v>
      </c>
      <c r="H94" s="511"/>
      <c r="I94" s="469"/>
      <c r="J94" s="136">
        <f t="shared" ref="J94:J98" si="30">K94-K94*$K$3</f>
        <v>2162.16</v>
      </c>
      <c r="K94" s="135">
        <f t="shared" si="21"/>
        <v>2162.16</v>
      </c>
      <c r="L94" s="31"/>
      <c r="M94" s="31"/>
      <c r="N94" s="182">
        <v>2162.16</v>
      </c>
      <c r="O94" s="140">
        <f t="shared" si="29"/>
        <v>2270.268</v>
      </c>
    </row>
    <row r="95" spans="1:15" s="30" customFormat="1" ht="20.100000000000001" customHeight="1" x14ac:dyDescent="0.25">
      <c r="A95" s="20"/>
      <c r="B95" s="469"/>
      <c r="C95" s="310" t="s">
        <v>386</v>
      </c>
      <c r="D95" s="472"/>
      <c r="E95" s="305"/>
      <c r="F95" s="183" t="s">
        <v>429</v>
      </c>
      <c r="G95" s="147" t="s">
        <v>402</v>
      </c>
      <c r="H95" s="511"/>
      <c r="I95" s="469"/>
      <c r="J95" s="136">
        <f t="shared" si="30"/>
        <v>2209.34</v>
      </c>
      <c r="K95" s="135">
        <f t="shared" si="21"/>
        <v>2209.34</v>
      </c>
      <c r="L95" s="31"/>
      <c r="M95" s="31"/>
      <c r="N95" s="182">
        <v>2209.34</v>
      </c>
      <c r="O95" s="140">
        <f t="shared" si="29"/>
        <v>2319.8070000000002</v>
      </c>
    </row>
    <row r="96" spans="1:15" s="30" customFormat="1" ht="20.100000000000001" customHeight="1" x14ac:dyDescent="0.25">
      <c r="A96" s="20"/>
      <c r="B96" s="469"/>
      <c r="C96" s="310" t="s">
        <v>386</v>
      </c>
      <c r="D96" s="472"/>
      <c r="E96" s="305"/>
      <c r="F96" s="183" t="s">
        <v>431</v>
      </c>
      <c r="G96" s="147" t="s">
        <v>406</v>
      </c>
      <c r="H96" s="511"/>
      <c r="I96" s="469"/>
      <c r="J96" s="136">
        <f t="shared" si="30"/>
        <v>2209.34</v>
      </c>
      <c r="K96" s="135">
        <f t="shared" si="21"/>
        <v>2209.34</v>
      </c>
      <c r="L96" s="31"/>
      <c r="M96" s="31"/>
      <c r="N96" s="182">
        <v>2209.34</v>
      </c>
      <c r="O96" s="140">
        <f t="shared" si="29"/>
        <v>2319.8070000000002</v>
      </c>
    </row>
    <row r="97" spans="1:15" s="30" customFormat="1" ht="20.100000000000001" customHeight="1" x14ac:dyDescent="0.25">
      <c r="A97" s="20"/>
      <c r="B97" s="469"/>
      <c r="C97" s="310" t="s">
        <v>386</v>
      </c>
      <c r="D97" s="472"/>
      <c r="E97" s="305"/>
      <c r="F97" s="183" t="s">
        <v>435</v>
      </c>
      <c r="G97" s="147" t="s">
        <v>404</v>
      </c>
      <c r="H97" s="511"/>
      <c r="I97" s="469"/>
      <c r="J97" s="136">
        <f t="shared" si="30"/>
        <v>2209.34</v>
      </c>
      <c r="K97" s="135">
        <f t="shared" si="21"/>
        <v>2209.34</v>
      </c>
      <c r="L97" s="31"/>
      <c r="M97" s="31"/>
      <c r="N97" s="182">
        <v>2209.34</v>
      </c>
      <c r="O97" s="140">
        <f t="shared" si="29"/>
        <v>2319.8070000000002</v>
      </c>
    </row>
    <row r="98" spans="1:15" s="30" customFormat="1" ht="20.100000000000001" customHeight="1" x14ac:dyDescent="0.25">
      <c r="A98" s="20"/>
      <c r="B98" s="470"/>
      <c r="C98" s="310" t="s">
        <v>386</v>
      </c>
      <c r="D98" s="473"/>
      <c r="E98" s="305"/>
      <c r="F98" s="183" t="s">
        <v>433</v>
      </c>
      <c r="G98" s="147" t="s">
        <v>403</v>
      </c>
      <c r="H98" s="512"/>
      <c r="I98" s="470"/>
      <c r="J98" s="136">
        <f t="shared" si="30"/>
        <v>2209.34</v>
      </c>
      <c r="K98" s="135">
        <f t="shared" si="21"/>
        <v>2209.34</v>
      </c>
      <c r="L98" s="31"/>
      <c r="M98" s="31"/>
      <c r="N98" s="182">
        <v>2209.34</v>
      </c>
      <c r="O98" s="140">
        <f t="shared" si="29"/>
        <v>2319.8070000000002</v>
      </c>
    </row>
    <row r="99" spans="1:15" s="30" customFormat="1" ht="18" customHeight="1" x14ac:dyDescent="0.25">
      <c r="A99" s="20"/>
      <c r="B99" s="191" t="s">
        <v>34</v>
      </c>
      <c r="C99" s="191"/>
      <c r="D99" s="191"/>
      <c r="E99" s="191"/>
      <c r="F99" s="191"/>
      <c r="G99" s="191"/>
      <c r="H99" s="191"/>
      <c r="I99" s="191"/>
      <c r="J99" s="191"/>
      <c r="K99" s="191"/>
      <c r="L99" s="31"/>
      <c r="M99" s="31"/>
      <c r="N99" s="173" t="e">
        <v>#N/A</v>
      </c>
      <c r="O99" s="174"/>
    </row>
    <row r="100" spans="1:15" s="30" customFormat="1" ht="20.100000000000001" customHeight="1" x14ac:dyDescent="0.25">
      <c r="A100" s="20"/>
      <c r="B100" s="463"/>
      <c r="C100" s="303"/>
      <c r="D100" s="464" t="s">
        <v>35</v>
      </c>
      <c r="E100" s="465" t="s">
        <v>36</v>
      </c>
      <c r="F100" s="183" t="s">
        <v>293</v>
      </c>
      <c r="G100" s="147" t="s">
        <v>201</v>
      </c>
      <c r="H100" s="474"/>
      <c r="I100" s="478" t="s">
        <v>26</v>
      </c>
      <c r="J100" s="136">
        <f>K100-K100*$K$3</f>
        <v>446.37</v>
      </c>
      <c r="K100" s="135">
        <f t="shared" ref="K100:K130" si="31">IF($K$2=$N$2,N100,O100)</f>
        <v>446.37</v>
      </c>
      <c r="L100" s="31"/>
      <c r="M100" s="31"/>
      <c r="N100" s="189">
        <v>446.37</v>
      </c>
      <c r="O100" s="140">
        <f t="shared" ref="O100:O120" si="32">N100*1.05</f>
        <v>468.68850000000003</v>
      </c>
    </row>
    <row r="101" spans="1:15" s="30" customFormat="1" ht="20.100000000000001" customHeight="1" x14ac:dyDescent="0.25">
      <c r="A101" s="20"/>
      <c r="B101" s="463"/>
      <c r="C101" s="303"/>
      <c r="D101" s="464"/>
      <c r="E101" s="465"/>
      <c r="F101" s="183" t="s">
        <v>348</v>
      </c>
      <c r="G101" s="147" t="s">
        <v>119</v>
      </c>
      <c r="H101" s="474"/>
      <c r="I101" s="478"/>
      <c r="J101" s="136">
        <f t="shared" ref="J101:J102" si="33">K101-K101*$K$3</f>
        <v>446.37</v>
      </c>
      <c r="K101" s="135">
        <f t="shared" si="31"/>
        <v>446.37</v>
      </c>
      <c r="L101" s="31"/>
      <c r="M101" s="31"/>
      <c r="N101" s="189">
        <v>446.37</v>
      </c>
      <c r="O101" s="140">
        <f t="shared" ref="O101:O102" si="34">N101*1.05</f>
        <v>468.68850000000003</v>
      </c>
    </row>
    <row r="102" spans="1:15" s="30" customFormat="1" ht="20.100000000000001" customHeight="1" x14ac:dyDescent="0.25">
      <c r="A102" s="20"/>
      <c r="B102" s="463"/>
      <c r="C102" s="303"/>
      <c r="D102" s="464"/>
      <c r="E102" s="465"/>
      <c r="F102" s="183" t="s">
        <v>338</v>
      </c>
      <c r="G102" s="147" t="s">
        <v>123</v>
      </c>
      <c r="H102" s="474"/>
      <c r="I102" s="478"/>
      <c r="J102" s="136">
        <f t="shared" si="33"/>
        <v>446.37</v>
      </c>
      <c r="K102" s="135">
        <f t="shared" si="31"/>
        <v>446.37</v>
      </c>
      <c r="L102" s="31"/>
      <c r="M102" s="31"/>
      <c r="N102" s="189">
        <v>446.37</v>
      </c>
      <c r="O102" s="140">
        <f t="shared" si="34"/>
        <v>468.68850000000003</v>
      </c>
    </row>
    <row r="103" spans="1:15" s="30" customFormat="1" ht="40.049999999999997" customHeight="1" x14ac:dyDescent="0.25">
      <c r="A103" s="20"/>
      <c r="B103" s="132"/>
      <c r="C103" s="303" t="s">
        <v>37</v>
      </c>
      <c r="D103" s="133" t="s">
        <v>37</v>
      </c>
      <c r="E103" s="129" t="s">
        <v>38</v>
      </c>
      <c r="F103" s="183" t="s">
        <v>294</v>
      </c>
      <c r="G103" s="147" t="s">
        <v>201</v>
      </c>
      <c r="H103" s="141"/>
      <c r="I103" s="142" t="s">
        <v>26</v>
      </c>
      <c r="J103" s="136">
        <f>K103-K103*$K$3</f>
        <v>2188.8200000000002</v>
      </c>
      <c r="K103" s="135">
        <f t="shared" si="31"/>
        <v>2188.8200000000002</v>
      </c>
      <c r="L103" s="31"/>
      <c r="M103" s="31"/>
      <c r="N103" s="176">
        <v>2188.8200000000002</v>
      </c>
      <c r="O103" s="135">
        <f t="shared" si="32"/>
        <v>2298.2610000000004</v>
      </c>
    </row>
    <row r="104" spans="1:15" s="30" customFormat="1" ht="20.100000000000001" customHeight="1" x14ac:dyDescent="0.25">
      <c r="A104" s="20"/>
      <c r="B104" s="463"/>
      <c r="C104" s="303"/>
      <c r="D104" s="464" t="s">
        <v>39</v>
      </c>
      <c r="E104" s="466" t="s">
        <v>40</v>
      </c>
      <c r="F104" s="183" t="s">
        <v>295</v>
      </c>
      <c r="G104" s="147" t="s">
        <v>201</v>
      </c>
      <c r="H104" s="474"/>
      <c r="I104" s="478" t="s">
        <v>41</v>
      </c>
      <c r="J104" s="136">
        <f>K104-K104*$K$3</f>
        <v>93.19</v>
      </c>
      <c r="K104" s="135">
        <f t="shared" si="31"/>
        <v>93.19</v>
      </c>
      <c r="L104" s="31"/>
      <c r="M104" s="31"/>
      <c r="N104" s="189">
        <v>93.19</v>
      </c>
      <c r="O104" s="140">
        <f t="shared" si="32"/>
        <v>97.849500000000006</v>
      </c>
    </row>
    <row r="105" spans="1:15" s="30" customFormat="1" ht="20.100000000000001" customHeight="1" x14ac:dyDescent="0.25">
      <c r="A105" s="20"/>
      <c r="B105" s="463"/>
      <c r="C105" s="303"/>
      <c r="D105" s="464"/>
      <c r="E105" s="466"/>
      <c r="F105" s="183" t="s">
        <v>349</v>
      </c>
      <c r="G105" s="147" t="s">
        <v>119</v>
      </c>
      <c r="H105" s="474"/>
      <c r="I105" s="478"/>
      <c r="J105" s="136">
        <f t="shared" ref="J105:J106" si="35">K105-K105*$K$3</f>
        <v>93.19</v>
      </c>
      <c r="K105" s="135">
        <f t="shared" si="31"/>
        <v>93.19</v>
      </c>
      <c r="L105" s="31"/>
      <c r="M105" s="31"/>
      <c r="N105" s="189">
        <v>93.19</v>
      </c>
      <c r="O105" s="140">
        <f t="shared" ref="O105:O106" si="36">N105*1.05</f>
        <v>97.849500000000006</v>
      </c>
    </row>
    <row r="106" spans="1:15" s="30" customFormat="1" ht="20.100000000000001" customHeight="1" x14ac:dyDescent="0.25">
      <c r="A106" s="20"/>
      <c r="B106" s="463"/>
      <c r="C106" s="303"/>
      <c r="D106" s="464"/>
      <c r="E106" s="466"/>
      <c r="F106" s="183" t="s">
        <v>339</v>
      </c>
      <c r="G106" s="147" t="s">
        <v>123</v>
      </c>
      <c r="H106" s="474"/>
      <c r="I106" s="478"/>
      <c r="J106" s="136">
        <f t="shared" si="35"/>
        <v>93.19</v>
      </c>
      <c r="K106" s="135">
        <f t="shared" si="31"/>
        <v>93.19</v>
      </c>
      <c r="L106" s="31"/>
      <c r="M106" s="31"/>
      <c r="N106" s="189">
        <v>93.19</v>
      </c>
      <c r="O106" s="140">
        <f t="shared" si="36"/>
        <v>97.849500000000006</v>
      </c>
    </row>
    <row r="107" spans="1:15" s="34" customFormat="1" ht="20.100000000000001" customHeight="1" x14ac:dyDescent="0.25">
      <c r="B107" s="475"/>
      <c r="C107" s="304"/>
      <c r="D107" s="464" t="s">
        <v>191</v>
      </c>
      <c r="E107" s="476"/>
      <c r="F107" s="183" t="s">
        <v>331</v>
      </c>
      <c r="G107" s="147" t="s">
        <v>201</v>
      </c>
      <c r="H107" s="477"/>
      <c r="I107" s="476" t="s">
        <v>26</v>
      </c>
      <c r="J107" s="148">
        <f>K107-K107*$K$3</f>
        <v>281.54000000000002</v>
      </c>
      <c r="K107" s="135">
        <f t="shared" si="31"/>
        <v>281.54000000000002</v>
      </c>
      <c r="L107" s="31"/>
      <c r="M107" s="31"/>
      <c r="N107" s="181">
        <v>281.54000000000002</v>
      </c>
      <c r="O107" s="140">
        <f t="shared" si="32"/>
        <v>295.61700000000002</v>
      </c>
    </row>
    <row r="108" spans="1:15" s="34" customFormat="1" ht="20.100000000000001" customHeight="1" x14ac:dyDescent="0.25">
      <c r="B108" s="475"/>
      <c r="C108" s="304"/>
      <c r="D108" s="464"/>
      <c r="E108" s="476"/>
      <c r="F108" s="183" t="s">
        <v>330</v>
      </c>
      <c r="G108" s="147" t="s">
        <v>286</v>
      </c>
      <c r="H108" s="477"/>
      <c r="I108" s="476"/>
      <c r="J108" s="148">
        <f t="shared" ref="J108:J110" si="37">K108-K108*$K$3</f>
        <v>281.54000000000002</v>
      </c>
      <c r="K108" s="135">
        <f t="shared" si="31"/>
        <v>281.54000000000002</v>
      </c>
      <c r="L108" s="31"/>
      <c r="M108" s="31"/>
      <c r="N108" s="181">
        <v>281.54000000000002</v>
      </c>
      <c r="O108" s="140">
        <f t="shared" ref="O108:O110" si="38">N108*1.05</f>
        <v>295.61700000000002</v>
      </c>
    </row>
    <row r="109" spans="1:15" s="34" customFormat="1" ht="20.100000000000001" customHeight="1" x14ac:dyDescent="0.25">
      <c r="B109" s="475"/>
      <c r="C109" s="304"/>
      <c r="D109" s="464"/>
      <c r="E109" s="476"/>
      <c r="F109" s="183" t="s">
        <v>346</v>
      </c>
      <c r="G109" s="147" t="s">
        <v>285</v>
      </c>
      <c r="H109" s="477"/>
      <c r="I109" s="476"/>
      <c r="J109" s="148">
        <f t="shared" si="37"/>
        <v>281.54000000000002</v>
      </c>
      <c r="K109" s="135">
        <f t="shared" si="31"/>
        <v>281.54000000000002</v>
      </c>
      <c r="L109" s="31"/>
      <c r="M109" s="31"/>
      <c r="N109" s="181">
        <v>281.54000000000002</v>
      </c>
      <c r="O109" s="140">
        <f t="shared" si="38"/>
        <v>295.61700000000002</v>
      </c>
    </row>
    <row r="110" spans="1:15" s="34" customFormat="1" ht="20.100000000000001" customHeight="1" x14ac:dyDescent="0.25">
      <c r="B110" s="475"/>
      <c r="C110" s="304"/>
      <c r="D110" s="464"/>
      <c r="E110" s="476"/>
      <c r="F110" s="183" t="s">
        <v>358</v>
      </c>
      <c r="G110" s="147" t="s">
        <v>284</v>
      </c>
      <c r="H110" s="477"/>
      <c r="I110" s="476"/>
      <c r="J110" s="148">
        <f t="shared" si="37"/>
        <v>281.54000000000002</v>
      </c>
      <c r="K110" s="135">
        <f t="shared" si="31"/>
        <v>281.54000000000002</v>
      </c>
      <c r="L110" s="31"/>
      <c r="M110" s="31"/>
      <c r="N110" s="181">
        <v>281.54000000000002</v>
      </c>
      <c r="O110" s="140">
        <f t="shared" si="38"/>
        <v>295.61700000000002</v>
      </c>
    </row>
    <row r="111" spans="1:15" s="34" customFormat="1" ht="20.100000000000001" customHeight="1" x14ac:dyDescent="0.25">
      <c r="B111" s="479"/>
      <c r="C111" s="295"/>
      <c r="D111" s="471" t="s">
        <v>125</v>
      </c>
      <c r="E111" s="144" t="s">
        <v>126</v>
      </c>
      <c r="F111" s="183" t="s">
        <v>301</v>
      </c>
      <c r="G111" s="147" t="s">
        <v>201</v>
      </c>
      <c r="H111" s="485"/>
      <c r="I111" s="482" t="s">
        <v>26</v>
      </c>
      <c r="J111" s="136">
        <f>K111-K111*$K$3</f>
        <v>2849.07</v>
      </c>
      <c r="K111" s="135">
        <f t="shared" si="31"/>
        <v>2849.07</v>
      </c>
      <c r="L111" s="31"/>
      <c r="M111" s="31"/>
      <c r="N111" s="176">
        <v>2849.07</v>
      </c>
      <c r="O111" s="127">
        <f t="shared" si="32"/>
        <v>2991.5235000000002</v>
      </c>
    </row>
    <row r="112" spans="1:15" s="34" customFormat="1" ht="20.100000000000001" customHeight="1" x14ac:dyDescent="0.25">
      <c r="B112" s="480"/>
      <c r="C112" s="296"/>
      <c r="D112" s="472"/>
      <c r="E112" s="146"/>
      <c r="F112" s="183" t="s">
        <v>300</v>
      </c>
      <c r="G112" s="147" t="s">
        <v>288</v>
      </c>
      <c r="H112" s="486"/>
      <c r="I112" s="483"/>
      <c r="J112" s="136">
        <f t="shared" ref="J112:J113" si="39">K112-K112*$K$3</f>
        <v>2849.07</v>
      </c>
      <c r="K112" s="135">
        <f t="shared" si="31"/>
        <v>2849.07</v>
      </c>
      <c r="L112" s="31"/>
      <c r="M112" s="31"/>
      <c r="N112" s="176">
        <v>2849.07</v>
      </c>
      <c r="O112" s="135">
        <f t="shared" ref="O112:O113" si="40">N112*1.05</f>
        <v>2991.5235000000002</v>
      </c>
    </row>
    <row r="113" spans="1:15" s="34" customFormat="1" ht="20.100000000000001" customHeight="1" x14ac:dyDescent="0.25">
      <c r="B113" s="481"/>
      <c r="C113" s="297"/>
      <c r="D113" s="473"/>
      <c r="E113" s="146"/>
      <c r="F113" s="183" t="s">
        <v>302</v>
      </c>
      <c r="G113" s="147" t="s">
        <v>287</v>
      </c>
      <c r="H113" s="487"/>
      <c r="I113" s="484"/>
      <c r="J113" s="136">
        <f t="shared" si="39"/>
        <v>2849.07</v>
      </c>
      <c r="K113" s="135">
        <f t="shared" si="31"/>
        <v>2849.07</v>
      </c>
      <c r="L113" s="31"/>
      <c r="M113" s="31"/>
      <c r="N113" s="176">
        <v>2849.07</v>
      </c>
      <c r="O113" s="135">
        <f t="shared" si="40"/>
        <v>2991.5235000000002</v>
      </c>
    </row>
    <row r="114" spans="1:15" s="34" customFormat="1" ht="20.100000000000001" customHeight="1" x14ac:dyDescent="0.25">
      <c r="B114" s="479"/>
      <c r="C114" s="295"/>
      <c r="D114" s="471" t="s">
        <v>127</v>
      </c>
      <c r="E114" s="144" t="s">
        <v>126</v>
      </c>
      <c r="F114" s="183" t="s">
        <v>297</v>
      </c>
      <c r="G114" s="147" t="s">
        <v>201</v>
      </c>
      <c r="H114" s="485"/>
      <c r="I114" s="482" t="s">
        <v>26</v>
      </c>
      <c r="J114" s="136">
        <f>K114-K114*$K$3</f>
        <v>2849.07</v>
      </c>
      <c r="K114" s="135">
        <f t="shared" si="31"/>
        <v>2849.07</v>
      </c>
      <c r="L114" s="31"/>
      <c r="M114" s="31"/>
      <c r="N114" s="176">
        <v>2849.07</v>
      </c>
      <c r="O114" s="127">
        <f t="shared" si="32"/>
        <v>2991.5235000000002</v>
      </c>
    </row>
    <row r="115" spans="1:15" s="34" customFormat="1" ht="20.100000000000001" customHeight="1" x14ac:dyDescent="0.25">
      <c r="B115" s="480"/>
      <c r="C115" s="296"/>
      <c r="D115" s="472"/>
      <c r="E115" s="146"/>
      <c r="F115" s="183" t="s">
        <v>298</v>
      </c>
      <c r="G115" s="147" t="s">
        <v>288</v>
      </c>
      <c r="H115" s="486"/>
      <c r="I115" s="483"/>
      <c r="J115" s="136">
        <f t="shared" ref="J115:J116" si="41">K115-K115*$K$3</f>
        <v>2849.07</v>
      </c>
      <c r="K115" s="135">
        <f t="shared" si="31"/>
        <v>2849.07</v>
      </c>
      <c r="L115" s="31"/>
      <c r="M115" s="31"/>
      <c r="N115" s="176">
        <v>2849.07</v>
      </c>
      <c r="O115" s="135">
        <f t="shared" ref="O115:O116" si="42">N115*1.05</f>
        <v>2991.5235000000002</v>
      </c>
    </row>
    <row r="116" spans="1:15" s="34" customFormat="1" ht="20.100000000000001" customHeight="1" x14ac:dyDescent="0.25">
      <c r="B116" s="481"/>
      <c r="C116" s="297"/>
      <c r="D116" s="473"/>
      <c r="E116" s="146"/>
      <c r="F116" s="183" t="s">
        <v>299</v>
      </c>
      <c r="G116" s="147" t="s">
        <v>287</v>
      </c>
      <c r="H116" s="487"/>
      <c r="I116" s="484"/>
      <c r="J116" s="136">
        <f t="shared" si="41"/>
        <v>2849.07</v>
      </c>
      <c r="K116" s="135">
        <f t="shared" si="31"/>
        <v>2849.07</v>
      </c>
      <c r="L116" s="31"/>
      <c r="M116" s="31"/>
      <c r="N116" s="176">
        <v>2849.07</v>
      </c>
      <c r="O116" s="135">
        <f t="shared" si="42"/>
        <v>2991.5235000000002</v>
      </c>
    </row>
    <row r="117" spans="1:15" s="34" customFormat="1" ht="40.049999999999997" customHeight="1" x14ac:dyDescent="0.25">
      <c r="B117" s="143"/>
      <c r="C117" s="308"/>
      <c r="D117" s="133" t="s">
        <v>217</v>
      </c>
      <c r="E117" s="129" t="s">
        <v>46</v>
      </c>
      <c r="F117" s="183" t="s">
        <v>307</v>
      </c>
      <c r="G117" s="147" t="s">
        <v>201</v>
      </c>
      <c r="H117" s="145"/>
      <c r="I117" s="142" t="s">
        <v>26</v>
      </c>
      <c r="J117" s="136">
        <f>K117-K117*$K$3</f>
        <v>210.59</v>
      </c>
      <c r="K117" s="135">
        <f t="shared" si="31"/>
        <v>210.59</v>
      </c>
      <c r="L117" s="31"/>
      <c r="M117" s="31"/>
      <c r="N117" s="178">
        <v>210.59</v>
      </c>
      <c r="O117" s="127">
        <f t="shared" si="32"/>
        <v>221.11950000000002</v>
      </c>
    </row>
    <row r="118" spans="1:15" s="34" customFormat="1" ht="20.100000000000001" customHeight="1" x14ac:dyDescent="0.25">
      <c r="B118" s="479"/>
      <c r="C118" s="295"/>
      <c r="D118" s="471" t="s">
        <v>160</v>
      </c>
      <c r="E118" s="134"/>
      <c r="F118" s="183" t="s">
        <v>296</v>
      </c>
      <c r="G118" s="147" t="s">
        <v>201</v>
      </c>
      <c r="H118" s="485"/>
      <c r="I118" s="482"/>
      <c r="J118" s="136">
        <f t="shared" ref="J118:J120" si="43">K118-K118*$K$3</f>
        <v>414.16</v>
      </c>
      <c r="K118" s="135">
        <f t="shared" si="31"/>
        <v>414.16</v>
      </c>
      <c r="L118" s="31"/>
      <c r="M118" s="31"/>
      <c r="N118" s="190">
        <v>414.16</v>
      </c>
      <c r="O118" s="135">
        <f t="shared" si="32"/>
        <v>434.86800000000005</v>
      </c>
    </row>
    <row r="119" spans="1:15" s="34" customFormat="1" ht="20.100000000000001" customHeight="1" x14ac:dyDescent="0.25">
      <c r="B119" s="480"/>
      <c r="C119" s="296"/>
      <c r="D119" s="472"/>
      <c r="E119" s="134"/>
      <c r="F119" s="183" t="s">
        <v>352</v>
      </c>
      <c r="G119" s="147" t="s">
        <v>119</v>
      </c>
      <c r="H119" s="486"/>
      <c r="I119" s="483"/>
      <c r="J119" s="136">
        <f t="shared" si="43"/>
        <v>414.16</v>
      </c>
      <c r="K119" s="135">
        <f t="shared" si="31"/>
        <v>414.16</v>
      </c>
      <c r="L119" s="31"/>
      <c r="M119" s="31"/>
      <c r="N119" s="190">
        <v>414.16</v>
      </c>
      <c r="O119" s="135">
        <f t="shared" si="32"/>
        <v>434.86800000000005</v>
      </c>
    </row>
    <row r="120" spans="1:15" s="34" customFormat="1" ht="20.100000000000001" customHeight="1" x14ac:dyDescent="0.25">
      <c r="B120" s="481"/>
      <c r="C120" s="297"/>
      <c r="D120" s="473"/>
      <c r="E120" s="134"/>
      <c r="F120" s="183" t="s">
        <v>351</v>
      </c>
      <c r="G120" s="147" t="s">
        <v>124</v>
      </c>
      <c r="H120" s="487"/>
      <c r="I120" s="484"/>
      <c r="J120" s="136">
        <f t="shared" si="43"/>
        <v>414.16</v>
      </c>
      <c r="K120" s="135">
        <f t="shared" si="31"/>
        <v>414.16</v>
      </c>
      <c r="L120" s="31"/>
      <c r="M120" s="31"/>
      <c r="N120" s="190">
        <v>414.16</v>
      </c>
      <c r="O120" s="135">
        <f t="shared" si="32"/>
        <v>434.86800000000005</v>
      </c>
    </row>
    <row r="121" spans="1:15" s="30" customFormat="1" ht="20.100000000000001" customHeight="1" x14ac:dyDescent="0.25">
      <c r="A121" s="20"/>
      <c r="B121" s="463"/>
      <c r="C121" s="303"/>
      <c r="D121" s="464" t="s">
        <v>47</v>
      </c>
      <c r="E121" s="466" t="s">
        <v>42</v>
      </c>
      <c r="F121" s="183" t="s">
        <v>308</v>
      </c>
      <c r="G121" s="147" t="s">
        <v>201</v>
      </c>
      <c r="H121" s="474"/>
      <c r="I121" s="478" t="s">
        <v>43</v>
      </c>
      <c r="J121" s="136">
        <f>K121-K121*$K$3</f>
        <v>815.4</v>
      </c>
      <c r="K121" s="135">
        <f t="shared" si="31"/>
        <v>815.4</v>
      </c>
      <c r="L121" s="31"/>
      <c r="M121" s="31"/>
      <c r="N121" s="189">
        <v>815.4</v>
      </c>
      <c r="O121" s="140">
        <f t="shared" ref="O121:O161" si="44">N121*1.05</f>
        <v>856.17</v>
      </c>
    </row>
    <row r="122" spans="1:15" s="30" customFormat="1" ht="20.100000000000001" customHeight="1" x14ac:dyDescent="0.25">
      <c r="A122" s="20"/>
      <c r="B122" s="463"/>
      <c r="C122" s="303"/>
      <c r="D122" s="464"/>
      <c r="E122" s="466"/>
      <c r="F122" s="183" t="s">
        <v>350</v>
      </c>
      <c r="G122" s="147" t="s">
        <v>119</v>
      </c>
      <c r="H122" s="474"/>
      <c r="I122" s="478"/>
      <c r="J122" s="136">
        <f t="shared" ref="J122:J123" si="45">K122-K122*$K$3</f>
        <v>815.4</v>
      </c>
      <c r="K122" s="135">
        <f t="shared" si="31"/>
        <v>815.4</v>
      </c>
      <c r="L122" s="31"/>
      <c r="M122" s="31"/>
      <c r="N122" s="189">
        <v>815.4</v>
      </c>
      <c r="O122" s="140">
        <f t="shared" ref="O122:O123" si="46">N122*1.05</f>
        <v>856.17</v>
      </c>
    </row>
    <row r="123" spans="1:15" s="30" customFormat="1" ht="20.100000000000001" customHeight="1" x14ac:dyDescent="0.25">
      <c r="A123" s="20"/>
      <c r="B123" s="463"/>
      <c r="C123" s="303"/>
      <c r="D123" s="464"/>
      <c r="E123" s="466"/>
      <c r="F123" s="183" t="s">
        <v>340</v>
      </c>
      <c r="G123" s="147" t="s">
        <v>124</v>
      </c>
      <c r="H123" s="474"/>
      <c r="I123" s="478"/>
      <c r="J123" s="136">
        <f t="shared" si="45"/>
        <v>815.4</v>
      </c>
      <c r="K123" s="135">
        <f t="shared" si="31"/>
        <v>815.4</v>
      </c>
      <c r="L123" s="31"/>
      <c r="M123" s="31"/>
      <c r="N123" s="189">
        <v>815.4</v>
      </c>
      <c r="O123" s="140">
        <f t="shared" si="46"/>
        <v>856.17</v>
      </c>
    </row>
    <row r="124" spans="1:15" s="30" customFormat="1" ht="20.100000000000001" customHeight="1" x14ac:dyDescent="0.25">
      <c r="A124" s="20"/>
      <c r="B124" s="488"/>
      <c r="C124" s="298"/>
      <c r="D124" s="491" t="s">
        <v>204</v>
      </c>
      <c r="E124" s="113" t="s">
        <v>42</v>
      </c>
      <c r="F124" s="183" t="s">
        <v>305</v>
      </c>
      <c r="G124" s="147" t="s">
        <v>201</v>
      </c>
      <c r="H124" s="497"/>
      <c r="I124" s="494" t="s">
        <v>43</v>
      </c>
      <c r="J124" s="136">
        <f t="shared" ref="J124" si="47">K124-K124*$K$3</f>
        <v>2535.88</v>
      </c>
      <c r="K124" s="135">
        <f t="shared" si="31"/>
        <v>2535.88</v>
      </c>
      <c r="L124" s="31"/>
      <c r="M124" s="31"/>
      <c r="N124" s="177">
        <v>2535.88</v>
      </c>
      <c r="O124" s="127">
        <f t="shared" si="44"/>
        <v>2662.6740000000004</v>
      </c>
    </row>
    <row r="125" spans="1:15" s="30" customFormat="1" ht="20.100000000000001" customHeight="1" x14ac:dyDescent="0.25">
      <c r="A125" s="20"/>
      <c r="B125" s="489"/>
      <c r="C125" s="299"/>
      <c r="D125" s="492"/>
      <c r="E125" s="113"/>
      <c r="F125" s="183" t="s">
        <v>303</v>
      </c>
      <c r="G125" s="147" t="s">
        <v>124</v>
      </c>
      <c r="H125" s="498"/>
      <c r="I125" s="495"/>
      <c r="J125" s="136">
        <f t="shared" ref="J125:J127" si="48">K125-K125*$K$3</f>
        <v>2535.88</v>
      </c>
      <c r="K125" s="135">
        <f t="shared" si="31"/>
        <v>2535.88</v>
      </c>
      <c r="L125" s="31"/>
      <c r="M125" s="31"/>
      <c r="N125" s="177">
        <v>2535.88</v>
      </c>
      <c r="O125" s="135">
        <f t="shared" ref="O125:O127" si="49">N125*1.05</f>
        <v>2662.6740000000004</v>
      </c>
    </row>
    <row r="126" spans="1:15" s="30" customFormat="1" ht="20.100000000000001" customHeight="1" x14ac:dyDescent="0.25">
      <c r="A126" s="20"/>
      <c r="B126" s="489"/>
      <c r="C126" s="299"/>
      <c r="D126" s="492"/>
      <c r="E126" s="113"/>
      <c r="F126" s="183" t="s">
        <v>304</v>
      </c>
      <c r="G126" s="147" t="s">
        <v>286</v>
      </c>
      <c r="H126" s="498"/>
      <c r="I126" s="495"/>
      <c r="J126" s="136">
        <f t="shared" si="48"/>
        <v>2535.88</v>
      </c>
      <c r="K126" s="135">
        <f t="shared" si="31"/>
        <v>2535.88</v>
      </c>
      <c r="L126" s="31"/>
      <c r="M126" s="31"/>
      <c r="N126" s="177">
        <v>2535.88</v>
      </c>
      <c r="O126" s="135">
        <f t="shared" si="49"/>
        <v>2662.6740000000004</v>
      </c>
    </row>
    <row r="127" spans="1:15" s="30" customFormat="1" ht="20.100000000000001" customHeight="1" x14ac:dyDescent="0.25">
      <c r="A127" s="20"/>
      <c r="B127" s="490"/>
      <c r="C127" s="300"/>
      <c r="D127" s="493"/>
      <c r="E127" s="113"/>
      <c r="F127" s="183" t="s">
        <v>306</v>
      </c>
      <c r="G127" s="147" t="s">
        <v>119</v>
      </c>
      <c r="H127" s="499"/>
      <c r="I127" s="496"/>
      <c r="J127" s="136">
        <f t="shared" si="48"/>
        <v>2535.88</v>
      </c>
      <c r="K127" s="135">
        <f t="shared" si="31"/>
        <v>2535.88</v>
      </c>
      <c r="L127" s="31"/>
      <c r="M127" s="31"/>
      <c r="N127" s="177">
        <v>2535.88</v>
      </c>
      <c r="O127" s="135">
        <f t="shared" si="49"/>
        <v>2662.6740000000004</v>
      </c>
    </row>
    <row r="128" spans="1:15" s="30" customFormat="1" ht="40.049999999999997" customHeight="1" x14ac:dyDescent="0.25">
      <c r="A128" s="20"/>
      <c r="B128" s="132"/>
      <c r="C128" s="303" t="s">
        <v>17</v>
      </c>
      <c r="D128" s="133" t="s">
        <v>17</v>
      </c>
      <c r="E128" s="32" t="s">
        <v>48</v>
      </c>
      <c r="F128" s="183" t="s">
        <v>309</v>
      </c>
      <c r="G128" s="147" t="s">
        <v>201</v>
      </c>
      <c r="H128" s="141"/>
      <c r="I128" s="142" t="s">
        <v>43</v>
      </c>
      <c r="J128" s="136">
        <f t="shared" ref="J128:J161" si="50">K128-K128*$K$3</f>
        <v>4368.13</v>
      </c>
      <c r="K128" s="135">
        <f t="shared" si="31"/>
        <v>4368.13</v>
      </c>
      <c r="L128" s="31"/>
      <c r="M128" s="31"/>
      <c r="N128" s="176">
        <v>4368.13</v>
      </c>
      <c r="O128" s="127">
        <f t="shared" si="44"/>
        <v>4586.5365000000002</v>
      </c>
    </row>
    <row r="129" spans="1:15" s="30" customFormat="1" ht="40.049999999999997" customHeight="1" x14ac:dyDescent="0.25">
      <c r="A129" s="20"/>
      <c r="B129" s="132"/>
      <c r="C129" s="303"/>
      <c r="D129" s="133" t="s">
        <v>215</v>
      </c>
      <c r="E129" s="32" t="s">
        <v>48</v>
      </c>
      <c r="F129" s="183" t="s">
        <v>337</v>
      </c>
      <c r="G129" s="147" t="s">
        <v>201</v>
      </c>
      <c r="H129" s="141"/>
      <c r="I129" s="142" t="s">
        <v>43</v>
      </c>
      <c r="J129" s="136">
        <f t="shared" si="50"/>
        <v>4308.78</v>
      </c>
      <c r="K129" s="135">
        <f t="shared" si="31"/>
        <v>4308.78</v>
      </c>
      <c r="L129" s="31"/>
      <c r="M129" s="31"/>
      <c r="N129" s="176">
        <v>4308.78</v>
      </c>
      <c r="O129" s="127">
        <f t="shared" si="44"/>
        <v>4524.2190000000001</v>
      </c>
    </row>
    <row r="130" spans="1:15" s="30" customFormat="1" ht="40.049999999999997" customHeight="1" x14ac:dyDescent="0.3">
      <c r="A130" s="20"/>
      <c r="B130" s="149"/>
      <c r="C130" s="149"/>
      <c r="D130" s="187" t="s">
        <v>216</v>
      </c>
      <c r="E130" s="113" t="s">
        <v>214</v>
      </c>
      <c r="F130" s="183" t="s">
        <v>336</v>
      </c>
      <c r="G130" s="147" t="s">
        <v>201</v>
      </c>
      <c r="H130" s="39"/>
      <c r="I130" s="144" t="s">
        <v>43</v>
      </c>
      <c r="J130" s="40">
        <f t="shared" ref="J130" si="51">K130-K130*$K$3</f>
        <v>1774.19</v>
      </c>
      <c r="K130" s="175">
        <f t="shared" si="31"/>
        <v>1774.19</v>
      </c>
      <c r="L130" s="31"/>
      <c r="M130" s="31"/>
      <c r="N130" s="176">
        <v>1774.19</v>
      </c>
      <c r="O130" s="175">
        <f t="shared" ref="O130" si="52">N130*1.05</f>
        <v>1862.8995000000002</v>
      </c>
    </row>
    <row r="131" spans="1:15" s="30" customFormat="1" ht="39.9" customHeight="1" x14ac:dyDescent="0.25">
      <c r="A131" s="20"/>
      <c r="B131" s="132"/>
      <c r="C131" s="303"/>
      <c r="D131" s="133" t="s">
        <v>49</v>
      </c>
      <c r="E131" s="129" t="s">
        <v>50</v>
      </c>
      <c r="F131" s="183" t="s">
        <v>310</v>
      </c>
      <c r="G131" s="147" t="s">
        <v>201</v>
      </c>
      <c r="H131" s="141"/>
      <c r="I131" s="142" t="s">
        <v>43</v>
      </c>
      <c r="J131" s="136">
        <f t="shared" si="50"/>
        <v>3471.2</v>
      </c>
      <c r="K131" s="135">
        <f t="shared" ref="K131:K162" si="53">IF($K$2=$N$2,N131,O131)</f>
        <v>3471.2</v>
      </c>
      <c r="L131" s="31"/>
      <c r="M131" s="31"/>
      <c r="N131" s="176">
        <v>3471.2</v>
      </c>
      <c r="O131" s="127">
        <f t="shared" si="44"/>
        <v>3644.7599999999998</v>
      </c>
    </row>
    <row r="132" spans="1:15" s="30" customFormat="1" ht="20.100000000000001" customHeight="1" x14ac:dyDescent="0.25">
      <c r="A132" s="20"/>
      <c r="B132" s="463"/>
      <c r="C132" s="303"/>
      <c r="D132" s="464" t="s">
        <v>51</v>
      </c>
      <c r="E132" s="466"/>
      <c r="F132" s="183" t="s">
        <v>311</v>
      </c>
      <c r="G132" s="147" t="s">
        <v>52</v>
      </c>
      <c r="H132" s="474"/>
      <c r="I132" s="478" t="s">
        <v>26</v>
      </c>
      <c r="J132" s="136">
        <f t="shared" si="50"/>
        <v>14.06</v>
      </c>
      <c r="K132" s="135">
        <f t="shared" si="53"/>
        <v>14.06</v>
      </c>
      <c r="L132" s="31"/>
      <c r="M132" s="31"/>
      <c r="N132" s="189">
        <v>14.06</v>
      </c>
      <c r="O132" s="140">
        <f t="shared" si="44"/>
        <v>14.763000000000002</v>
      </c>
    </row>
    <row r="133" spans="1:15" s="30" customFormat="1" ht="20.100000000000001" customHeight="1" x14ac:dyDescent="0.25">
      <c r="A133" s="20"/>
      <c r="B133" s="463"/>
      <c r="C133" s="303"/>
      <c r="D133" s="464"/>
      <c r="E133" s="466"/>
      <c r="F133" s="183" t="s">
        <v>312</v>
      </c>
      <c r="G133" s="147" t="s">
        <v>44</v>
      </c>
      <c r="H133" s="474"/>
      <c r="I133" s="478"/>
      <c r="J133" s="136">
        <f t="shared" ref="J133:J135" si="54">K133-K133*$K$3</f>
        <v>14.06</v>
      </c>
      <c r="K133" s="135">
        <f t="shared" si="53"/>
        <v>14.06</v>
      </c>
      <c r="L133" s="31"/>
      <c r="M133" s="31"/>
      <c r="N133" s="189">
        <v>14.06</v>
      </c>
      <c r="O133" s="140">
        <f t="shared" ref="O133:O135" si="55">N133*1.05</f>
        <v>14.763000000000002</v>
      </c>
    </row>
    <row r="134" spans="1:15" s="30" customFormat="1" ht="20.100000000000001" customHeight="1" x14ac:dyDescent="0.25">
      <c r="A134" s="20"/>
      <c r="B134" s="463"/>
      <c r="C134" s="303"/>
      <c r="D134" s="464"/>
      <c r="E134" s="466"/>
      <c r="F134" s="183" t="s">
        <v>341</v>
      </c>
      <c r="G134" s="147" t="s">
        <v>285</v>
      </c>
      <c r="H134" s="474"/>
      <c r="I134" s="478"/>
      <c r="J134" s="136">
        <f t="shared" ref="J134" si="56">K134-K134*$K$3</f>
        <v>14.06</v>
      </c>
      <c r="K134" s="135">
        <f t="shared" si="53"/>
        <v>14.06</v>
      </c>
      <c r="L134" s="31"/>
      <c r="M134" s="31"/>
      <c r="N134" s="189">
        <v>14.06</v>
      </c>
      <c r="O134" s="140">
        <f t="shared" ref="O134" si="57">N134*1.05</f>
        <v>14.763000000000002</v>
      </c>
    </row>
    <row r="135" spans="1:15" s="30" customFormat="1" ht="20.100000000000001" customHeight="1" x14ac:dyDescent="0.25">
      <c r="A135" s="20"/>
      <c r="B135" s="463"/>
      <c r="C135" s="303"/>
      <c r="D135" s="464"/>
      <c r="E135" s="466"/>
      <c r="F135" s="183" t="s">
        <v>353</v>
      </c>
      <c r="G135" s="147" t="s">
        <v>119</v>
      </c>
      <c r="H135" s="474"/>
      <c r="I135" s="478"/>
      <c r="J135" s="136">
        <f t="shared" si="54"/>
        <v>14.06</v>
      </c>
      <c r="K135" s="135">
        <f t="shared" si="53"/>
        <v>14.06</v>
      </c>
      <c r="L135" s="31"/>
      <c r="M135" s="31"/>
      <c r="N135" s="189">
        <v>14.06</v>
      </c>
      <c r="O135" s="140">
        <f t="shared" si="55"/>
        <v>14.763000000000002</v>
      </c>
    </row>
    <row r="136" spans="1:15" s="30" customFormat="1" ht="40.049999999999997" customHeight="1" x14ac:dyDescent="0.25">
      <c r="A136" s="20"/>
      <c r="B136" s="132"/>
      <c r="C136" s="303"/>
      <c r="D136" s="133" t="s">
        <v>53</v>
      </c>
      <c r="E136" s="129" t="s">
        <v>54</v>
      </c>
      <c r="F136" s="183" t="s">
        <v>313</v>
      </c>
      <c r="G136" s="147" t="s">
        <v>201</v>
      </c>
      <c r="H136" s="141"/>
      <c r="I136" s="142" t="s">
        <v>26</v>
      </c>
      <c r="J136" s="148">
        <f t="shared" si="50"/>
        <v>716</v>
      </c>
      <c r="K136" s="135">
        <f t="shared" si="53"/>
        <v>716</v>
      </c>
      <c r="L136" s="31"/>
      <c r="M136" s="31"/>
      <c r="N136" s="178">
        <v>716</v>
      </c>
      <c r="O136" s="127">
        <f t="shared" si="44"/>
        <v>751.80000000000007</v>
      </c>
    </row>
    <row r="137" spans="1:15" s="30" customFormat="1" ht="20.100000000000001" customHeight="1" x14ac:dyDescent="0.25">
      <c r="A137" s="20"/>
      <c r="B137" s="463"/>
      <c r="C137" s="303"/>
      <c r="D137" s="464" t="s">
        <v>128</v>
      </c>
      <c r="E137" s="466" t="s">
        <v>54</v>
      </c>
      <c r="F137" s="183" t="s">
        <v>314</v>
      </c>
      <c r="G137" s="147" t="s">
        <v>201</v>
      </c>
      <c r="H137" s="474"/>
      <c r="I137" s="478" t="s">
        <v>26</v>
      </c>
      <c r="J137" s="136">
        <f t="shared" si="50"/>
        <v>487.37</v>
      </c>
      <c r="K137" s="135">
        <f t="shared" si="53"/>
        <v>487.37</v>
      </c>
      <c r="L137" s="31"/>
      <c r="M137" s="31"/>
      <c r="N137" s="189">
        <v>487.37</v>
      </c>
      <c r="O137" s="140">
        <f t="shared" si="44"/>
        <v>511.73850000000004</v>
      </c>
    </row>
    <row r="138" spans="1:15" s="30" customFormat="1" ht="20.100000000000001" customHeight="1" x14ac:dyDescent="0.25">
      <c r="A138" s="20"/>
      <c r="B138" s="463"/>
      <c r="C138" s="303"/>
      <c r="D138" s="464"/>
      <c r="E138" s="466"/>
      <c r="F138" s="183" t="s">
        <v>354</v>
      </c>
      <c r="G138" s="147" t="s">
        <v>119</v>
      </c>
      <c r="H138" s="474"/>
      <c r="I138" s="478"/>
      <c r="J138" s="136">
        <f t="shared" ref="J138:J142" si="58">K138-K138*$K$3</f>
        <v>487.37</v>
      </c>
      <c r="K138" s="135">
        <f t="shared" si="53"/>
        <v>487.37</v>
      </c>
      <c r="L138" s="31"/>
      <c r="M138" s="31"/>
      <c r="N138" s="189">
        <v>487.37</v>
      </c>
      <c r="O138" s="140">
        <f t="shared" ref="O138:O142" si="59">N138*1.05</f>
        <v>511.73850000000004</v>
      </c>
    </row>
    <row r="139" spans="1:15" s="30" customFormat="1" ht="20.100000000000001" customHeight="1" x14ac:dyDescent="0.25">
      <c r="A139" s="20"/>
      <c r="B139" s="463"/>
      <c r="C139" s="303"/>
      <c r="D139" s="464"/>
      <c r="E139" s="466"/>
      <c r="F139" s="183" t="s">
        <v>342</v>
      </c>
      <c r="G139" s="147" t="s">
        <v>124</v>
      </c>
      <c r="H139" s="474"/>
      <c r="I139" s="478"/>
      <c r="J139" s="136">
        <f t="shared" si="58"/>
        <v>487.37</v>
      </c>
      <c r="K139" s="135">
        <f t="shared" si="53"/>
        <v>487.37</v>
      </c>
      <c r="L139" s="31"/>
      <c r="M139" s="31"/>
      <c r="N139" s="189">
        <v>487.37</v>
      </c>
      <c r="O139" s="140">
        <f t="shared" si="59"/>
        <v>511.73850000000004</v>
      </c>
    </row>
    <row r="140" spans="1:15" s="30" customFormat="1" ht="20.100000000000001" customHeight="1" x14ac:dyDescent="0.25">
      <c r="A140" s="20"/>
      <c r="B140" s="463"/>
      <c r="C140" s="303"/>
      <c r="D140" s="464" t="s">
        <v>129</v>
      </c>
      <c r="E140" s="466"/>
      <c r="F140" s="183" t="s">
        <v>315</v>
      </c>
      <c r="G140" s="147" t="s">
        <v>201</v>
      </c>
      <c r="H140" s="474"/>
      <c r="I140" s="478"/>
      <c r="J140" s="136">
        <f t="shared" si="58"/>
        <v>487.37</v>
      </c>
      <c r="K140" s="135">
        <f t="shared" si="53"/>
        <v>487.37</v>
      </c>
      <c r="L140" s="31"/>
      <c r="M140" s="31"/>
      <c r="N140" s="189">
        <v>487.37</v>
      </c>
      <c r="O140" s="140">
        <f t="shared" si="59"/>
        <v>511.73850000000004</v>
      </c>
    </row>
    <row r="141" spans="1:15" s="30" customFormat="1" ht="20.100000000000001" customHeight="1" x14ac:dyDescent="0.25">
      <c r="A141" s="20"/>
      <c r="B141" s="463"/>
      <c r="C141" s="303"/>
      <c r="D141" s="464"/>
      <c r="E141" s="466"/>
      <c r="F141" s="183" t="s">
        <v>355</v>
      </c>
      <c r="G141" s="147" t="s">
        <v>119</v>
      </c>
      <c r="H141" s="474"/>
      <c r="I141" s="478"/>
      <c r="J141" s="136">
        <f t="shared" si="58"/>
        <v>487.37</v>
      </c>
      <c r="K141" s="135">
        <f t="shared" si="53"/>
        <v>487.37</v>
      </c>
      <c r="L141" s="31"/>
      <c r="M141" s="31"/>
      <c r="N141" s="189">
        <v>487.37</v>
      </c>
      <c r="O141" s="140">
        <f t="shared" si="59"/>
        <v>511.73850000000004</v>
      </c>
    </row>
    <row r="142" spans="1:15" s="30" customFormat="1" ht="20.100000000000001" customHeight="1" x14ac:dyDescent="0.25">
      <c r="A142" s="20"/>
      <c r="B142" s="463"/>
      <c r="C142" s="303"/>
      <c r="D142" s="464"/>
      <c r="E142" s="466"/>
      <c r="F142" s="183" t="s">
        <v>343</v>
      </c>
      <c r="G142" s="147" t="s">
        <v>124</v>
      </c>
      <c r="H142" s="474"/>
      <c r="I142" s="478"/>
      <c r="J142" s="136">
        <f t="shared" si="58"/>
        <v>487.37</v>
      </c>
      <c r="K142" s="135">
        <f t="shared" si="53"/>
        <v>487.37</v>
      </c>
      <c r="L142" s="31"/>
      <c r="M142" s="31"/>
      <c r="N142" s="189">
        <v>487.37</v>
      </c>
      <c r="O142" s="140">
        <f t="shared" si="59"/>
        <v>511.73850000000004</v>
      </c>
    </row>
    <row r="143" spans="1:15" s="30" customFormat="1" ht="20.100000000000001" customHeight="1" x14ac:dyDescent="0.25">
      <c r="A143" s="20"/>
      <c r="B143" s="463"/>
      <c r="C143" s="303"/>
      <c r="D143" s="464" t="s">
        <v>55</v>
      </c>
      <c r="E143" s="466" t="s">
        <v>54</v>
      </c>
      <c r="F143" s="183" t="s">
        <v>316</v>
      </c>
      <c r="G143" s="147" t="s">
        <v>201</v>
      </c>
      <c r="H143" s="474"/>
      <c r="I143" s="478" t="s">
        <v>26</v>
      </c>
      <c r="J143" s="136">
        <f t="shared" si="50"/>
        <v>565.6</v>
      </c>
      <c r="K143" s="135">
        <f t="shared" si="53"/>
        <v>565.6</v>
      </c>
      <c r="L143" s="31"/>
      <c r="M143" s="31"/>
      <c r="N143" s="189">
        <v>565.6</v>
      </c>
      <c r="O143" s="140">
        <f t="shared" si="44"/>
        <v>593.88</v>
      </c>
    </row>
    <row r="144" spans="1:15" s="30" customFormat="1" ht="20.100000000000001" customHeight="1" x14ac:dyDescent="0.25">
      <c r="A144" s="20"/>
      <c r="B144" s="463"/>
      <c r="C144" s="303"/>
      <c r="D144" s="464"/>
      <c r="E144" s="466"/>
      <c r="F144" s="183" t="s">
        <v>356</v>
      </c>
      <c r="G144" s="147" t="s">
        <v>119</v>
      </c>
      <c r="H144" s="474"/>
      <c r="I144" s="478"/>
      <c r="J144" s="136">
        <f t="shared" ref="J144:J145" si="60">K144-K144*$K$3</f>
        <v>565.6</v>
      </c>
      <c r="K144" s="135">
        <f t="shared" si="53"/>
        <v>565.6</v>
      </c>
      <c r="L144" s="31"/>
      <c r="M144" s="31"/>
      <c r="N144" s="189">
        <v>565.6</v>
      </c>
      <c r="O144" s="140">
        <f t="shared" ref="O144:O145" si="61">N144*1.05</f>
        <v>593.88</v>
      </c>
    </row>
    <row r="145" spans="1:15" s="30" customFormat="1" ht="20.100000000000001" customHeight="1" x14ac:dyDescent="0.25">
      <c r="A145" s="20"/>
      <c r="B145" s="463"/>
      <c r="C145" s="303"/>
      <c r="D145" s="464"/>
      <c r="E145" s="466"/>
      <c r="F145" s="183" t="s">
        <v>344</v>
      </c>
      <c r="G145" s="147" t="s">
        <v>124</v>
      </c>
      <c r="H145" s="474"/>
      <c r="I145" s="478"/>
      <c r="J145" s="136">
        <f t="shared" si="60"/>
        <v>565.6</v>
      </c>
      <c r="K145" s="135">
        <f t="shared" si="53"/>
        <v>565.6</v>
      </c>
      <c r="L145" s="31"/>
      <c r="M145" s="31"/>
      <c r="N145" s="189">
        <v>565.6</v>
      </c>
      <c r="O145" s="140">
        <f t="shared" si="61"/>
        <v>593.88</v>
      </c>
    </row>
    <row r="146" spans="1:15" s="30" customFormat="1" ht="40.049999999999997" customHeight="1" x14ac:dyDescent="0.25">
      <c r="A146" s="35"/>
      <c r="B146" s="150"/>
      <c r="C146" s="304"/>
      <c r="D146" s="133" t="s">
        <v>56</v>
      </c>
      <c r="E146" s="144" t="s">
        <v>36</v>
      </c>
      <c r="F146" s="183" t="s">
        <v>317</v>
      </c>
      <c r="G146" s="147" t="s">
        <v>201</v>
      </c>
      <c r="H146" s="151"/>
      <c r="I146" s="144" t="s">
        <v>26</v>
      </c>
      <c r="J146" s="136">
        <f t="shared" si="50"/>
        <v>52.65</v>
      </c>
      <c r="K146" s="135">
        <f t="shared" si="53"/>
        <v>52.65</v>
      </c>
      <c r="L146" s="31"/>
      <c r="M146" s="31"/>
      <c r="N146" s="179">
        <v>52.65</v>
      </c>
      <c r="O146" s="127">
        <f t="shared" si="44"/>
        <v>55.282499999999999</v>
      </c>
    </row>
    <row r="147" spans="1:15" s="30" customFormat="1" ht="40.049999999999997" customHeight="1" x14ac:dyDescent="0.25">
      <c r="A147" s="20"/>
      <c r="B147" s="132"/>
      <c r="C147" s="303"/>
      <c r="D147" s="133" t="s">
        <v>57</v>
      </c>
      <c r="E147" s="129" t="s">
        <v>36</v>
      </c>
      <c r="F147" s="183" t="s">
        <v>318</v>
      </c>
      <c r="G147" s="147" t="s">
        <v>201</v>
      </c>
      <c r="H147" s="141"/>
      <c r="I147" s="142" t="s">
        <v>26</v>
      </c>
      <c r="J147" s="136">
        <f t="shared" si="50"/>
        <v>60.56</v>
      </c>
      <c r="K147" s="135">
        <f t="shared" si="53"/>
        <v>60.56</v>
      </c>
      <c r="L147" s="31"/>
      <c r="M147" s="31"/>
      <c r="N147" s="178">
        <v>60.56</v>
      </c>
      <c r="O147" s="127">
        <f t="shared" si="44"/>
        <v>63.588000000000008</v>
      </c>
    </row>
    <row r="148" spans="1:15" s="30" customFormat="1" ht="40.049999999999997" customHeight="1" x14ac:dyDescent="0.25">
      <c r="A148" s="35"/>
      <c r="B148" s="150"/>
      <c r="C148" s="304"/>
      <c r="D148" s="133" t="s">
        <v>58</v>
      </c>
      <c r="E148" s="144" t="s">
        <v>36</v>
      </c>
      <c r="F148" s="183" t="s">
        <v>319</v>
      </c>
      <c r="G148" s="147" t="s">
        <v>201</v>
      </c>
      <c r="H148" s="151"/>
      <c r="I148" s="144" t="s">
        <v>26</v>
      </c>
      <c r="J148" s="136">
        <f t="shared" si="50"/>
        <v>311.57</v>
      </c>
      <c r="K148" s="135">
        <f t="shared" si="53"/>
        <v>311.57</v>
      </c>
      <c r="L148" s="31"/>
      <c r="M148" s="31"/>
      <c r="N148" s="178">
        <v>311.57</v>
      </c>
      <c r="O148" s="127">
        <f t="shared" si="44"/>
        <v>327.14850000000001</v>
      </c>
    </row>
    <row r="149" spans="1:15" s="30" customFormat="1" ht="40.049999999999997" customHeight="1" x14ac:dyDescent="0.25">
      <c r="A149" s="35" t="s">
        <v>59</v>
      </c>
      <c r="B149" s="150"/>
      <c r="C149" s="147" t="s">
        <v>146</v>
      </c>
      <c r="D149" s="133" t="s">
        <v>60</v>
      </c>
      <c r="E149" s="144" t="s">
        <v>48</v>
      </c>
      <c r="F149" s="183" t="s">
        <v>322</v>
      </c>
      <c r="G149" s="147" t="s">
        <v>201</v>
      </c>
      <c r="H149" s="151"/>
      <c r="I149" s="144" t="s">
        <v>43</v>
      </c>
      <c r="J149" s="136">
        <f t="shared" si="50"/>
        <v>3290.67</v>
      </c>
      <c r="K149" s="135">
        <f t="shared" si="53"/>
        <v>3290.67</v>
      </c>
      <c r="L149" s="31"/>
      <c r="M149" s="31"/>
      <c r="N149" s="176">
        <v>3290.67</v>
      </c>
      <c r="O149" s="127">
        <f t="shared" si="44"/>
        <v>3455.2035000000001</v>
      </c>
    </row>
    <row r="150" spans="1:15" s="30" customFormat="1" ht="40.049999999999997" customHeight="1" x14ac:dyDescent="0.25">
      <c r="A150" s="20"/>
      <c r="B150" s="132"/>
      <c r="C150" s="303"/>
      <c r="D150" s="133" t="s">
        <v>61</v>
      </c>
      <c r="E150" s="129" t="s">
        <v>54</v>
      </c>
      <c r="F150" s="183" t="s">
        <v>320</v>
      </c>
      <c r="G150" s="147" t="s">
        <v>201</v>
      </c>
      <c r="H150" s="141"/>
      <c r="I150" s="142" t="s">
        <v>26</v>
      </c>
      <c r="J150" s="136">
        <f t="shared" si="50"/>
        <v>748.1</v>
      </c>
      <c r="K150" s="135">
        <f t="shared" si="53"/>
        <v>748.1</v>
      </c>
      <c r="L150" s="31"/>
      <c r="M150" s="31"/>
      <c r="N150" s="178">
        <v>748.1</v>
      </c>
      <c r="O150" s="127">
        <f t="shared" si="44"/>
        <v>785.50500000000011</v>
      </c>
    </row>
    <row r="151" spans="1:15" s="30" customFormat="1" ht="40.049999999999997" customHeight="1" x14ac:dyDescent="0.25">
      <c r="A151" s="35"/>
      <c r="B151" s="150"/>
      <c r="C151" s="304" t="s">
        <v>62</v>
      </c>
      <c r="D151" s="133" t="s">
        <v>62</v>
      </c>
      <c r="E151" s="144" t="s">
        <v>40</v>
      </c>
      <c r="F151" s="183" t="s">
        <v>321</v>
      </c>
      <c r="G151" s="147" t="s">
        <v>201</v>
      </c>
      <c r="H151" s="32"/>
      <c r="I151" s="144" t="s">
        <v>43</v>
      </c>
      <c r="J151" s="136">
        <f t="shared" si="50"/>
        <v>189.27</v>
      </c>
      <c r="K151" s="135">
        <f t="shared" si="53"/>
        <v>189.27</v>
      </c>
      <c r="L151" s="31"/>
      <c r="M151" s="31"/>
      <c r="N151" s="178">
        <v>189.27</v>
      </c>
      <c r="O151" s="127">
        <f t="shared" si="44"/>
        <v>198.73350000000002</v>
      </c>
    </row>
    <row r="152" spans="1:15" s="30" customFormat="1" ht="20.100000000000001" customHeight="1" x14ac:dyDescent="0.25">
      <c r="A152" s="20"/>
      <c r="B152" s="463"/>
      <c r="C152" s="303"/>
      <c r="D152" s="464" t="s">
        <v>63</v>
      </c>
      <c r="E152" s="466" t="s">
        <v>31</v>
      </c>
      <c r="F152" s="146" t="s">
        <v>323</v>
      </c>
      <c r="G152" s="147" t="s">
        <v>201</v>
      </c>
      <c r="H152" s="474"/>
      <c r="I152" s="478" t="s">
        <v>26</v>
      </c>
      <c r="J152" s="136">
        <f t="shared" si="50"/>
        <v>751.74</v>
      </c>
      <c r="K152" s="135">
        <f t="shared" si="53"/>
        <v>751.74</v>
      </c>
      <c r="L152" s="31"/>
      <c r="M152" s="31"/>
      <c r="N152" s="189">
        <v>751.74</v>
      </c>
      <c r="O152" s="140">
        <f t="shared" si="44"/>
        <v>789.327</v>
      </c>
    </row>
    <row r="153" spans="1:15" s="30" customFormat="1" ht="20.100000000000001" customHeight="1" x14ac:dyDescent="0.25">
      <c r="A153" s="20"/>
      <c r="B153" s="463"/>
      <c r="C153" s="303"/>
      <c r="D153" s="464"/>
      <c r="E153" s="466"/>
      <c r="F153" s="183" t="s">
        <v>357</v>
      </c>
      <c r="G153" s="147" t="s">
        <v>119</v>
      </c>
      <c r="H153" s="474"/>
      <c r="I153" s="478"/>
      <c r="J153" s="136">
        <f t="shared" ref="J153:J154" si="62">K153-K153*$K$3</f>
        <v>751.74</v>
      </c>
      <c r="K153" s="135">
        <f t="shared" si="53"/>
        <v>751.74</v>
      </c>
      <c r="L153" s="31"/>
      <c r="M153" s="31"/>
      <c r="N153" s="189">
        <v>751.74</v>
      </c>
      <c r="O153" s="140">
        <f t="shared" ref="O153:O154" si="63">N153*1.05</f>
        <v>789.327</v>
      </c>
    </row>
    <row r="154" spans="1:15" s="30" customFormat="1" ht="20.100000000000001" customHeight="1" x14ac:dyDescent="0.25">
      <c r="A154" s="20"/>
      <c r="B154" s="463"/>
      <c r="C154" s="303"/>
      <c r="D154" s="464"/>
      <c r="E154" s="466"/>
      <c r="F154" s="183" t="s">
        <v>345</v>
      </c>
      <c r="G154" s="147" t="s">
        <v>124</v>
      </c>
      <c r="H154" s="474"/>
      <c r="I154" s="478"/>
      <c r="J154" s="136">
        <f t="shared" si="62"/>
        <v>751.74</v>
      </c>
      <c r="K154" s="135">
        <f t="shared" si="53"/>
        <v>751.74</v>
      </c>
      <c r="L154" s="31"/>
      <c r="M154" s="31"/>
      <c r="N154" s="189">
        <v>751.74</v>
      </c>
      <c r="O154" s="140">
        <f t="shared" si="63"/>
        <v>789.327</v>
      </c>
    </row>
    <row r="155" spans="1:15" s="30" customFormat="1" ht="40.049999999999997" customHeight="1" x14ac:dyDescent="0.25">
      <c r="A155" s="20"/>
      <c r="B155" s="132"/>
      <c r="C155" s="303"/>
      <c r="D155" s="133" t="s">
        <v>64</v>
      </c>
      <c r="E155" s="129" t="s">
        <v>65</v>
      </c>
      <c r="F155" s="183" t="s">
        <v>324</v>
      </c>
      <c r="G155" s="147" t="s">
        <v>201</v>
      </c>
      <c r="H155" s="141"/>
      <c r="I155" s="142" t="s">
        <v>26</v>
      </c>
      <c r="J155" s="136">
        <f t="shared" si="50"/>
        <v>8.33</v>
      </c>
      <c r="K155" s="135">
        <f t="shared" si="53"/>
        <v>8.33</v>
      </c>
      <c r="L155" s="31"/>
      <c r="M155" s="31"/>
      <c r="N155" s="178">
        <v>8.33</v>
      </c>
      <c r="O155" s="127">
        <f t="shared" si="44"/>
        <v>8.7465000000000011</v>
      </c>
    </row>
    <row r="156" spans="1:15" s="37" customFormat="1" ht="40.049999999999997" customHeight="1" x14ac:dyDescent="0.25">
      <c r="A156" s="36"/>
      <c r="B156" s="152"/>
      <c r="C156" s="152"/>
      <c r="D156" s="133" t="s">
        <v>66</v>
      </c>
      <c r="E156" s="144" t="s">
        <v>67</v>
      </c>
      <c r="F156" s="183" t="s">
        <v>327</v>
      </c>
      <c r="G156" s="147" t="s">
        <v>201</v>
      </c>
      <c r="H156" s="141"/>
      <c r="I156" s="142" t="s">
        <v>43</v>
      </c>
      <c r="J156" s="136">
        <f t="shared" si="50"/>
        <v>235.89</v>
      </c>
      <c r="K156" s="135">
        <f t="shared" si="53"/>
        <v>235.89</v>
      </c>
      <c r="L156" s="31"/>
      <c r="M156" s="31"/>
      <c r="N156" s="178">
        <v>235.89</v>
      </c>
      <c r="O156" s="127">
        <f t="shared" si="44"/>
        <v>247.68449999999999</v>
      </c>
    </row>
    <row r="157" spans="1:15" s="30" customFormat="1" ht="40.049999999999997" customHeight="1" x14ac:dyDescent="0.25">
      <c r="A157" s="20"/>
      <c r="B157" s="132"/>
      <c r="C157" s="303" t="s">
        <v>68</v>
      </c>
      <c r="D157" s="133" t="s">
        <v>68</v>
      </c>
      <c r="E157" s="144" t="s">
        <v>130</v>
      </c>
      <c r="F157" s="183" t="s">
        <v>329</v>
      </c>
      <c r="G157" s="147"/>
      <c r="H157" s="141"/>
      <c r="I157" s="142" t="s">
        <v>43</v>
      </c>
      <c r="J157" s="136">
        <f t="shared" si="50"/>
        <v>592.29</v>
      </c>
      <c r="K157" s="135">
        <f t="shared" si="53"/>
        <v>592.29</v>
      </c>
      <c r="L157" s="31"/>
      <c r="M157" s="31"/>
      <c r="N157" s="178">
        <v>592.29</v>
      </c>
      <c r="O157" s="127">
        <f t="shared" si="44"/>
        <v>621.90449999999998</v>
      </c>
    </row>
    <row r="158" spans="1:15" s="30" customFormat="1" ht="40.049999999999997" customHeight="1" x14ac:dyDescent="0.25">
      <c r="A158" s="20"/>
      <c r="B158" s="132"/>
      <c r="C158" s="303" t="s">
        <v>69</v>
      </c>
      <c r="D158" s="133" t="s">
        <v>69</v>
      </c>
      <c r="E158" s="144" t="s">
        <v>70</v>
      </c>
      <c r="F158" s="183" t="s">
        <v>328</v>
      </c>
      <c r="G158" s="147" t="s">
        <v>201</v>
      </c>
      <c r="H158" s="141"/>
      <c r="I158" s="142" t="s">
        <v>26</v>
      </c>
      <c r="J158" s="136">
        <f t="shared" si="50"/>
        <v>133.72</v>
      </c>
      <c r="K158" s="135">
        <f t="shared" si="53"/>
        <v>133.72</v>
      </c>
      <c r="L158" s="31"/>
      <c r="M158" s="31"/>
      <c r="N158" s="178">
        <v>133.72</v>
      </c>
      <c r="O158" s="127">
        <f t="shared" si="44"/>
        <v>140.40600000000001</v>
      </c>
    </row>
    <row r="159" spans="1:15" s="29" customFormat="1" ht="40.049999999999997" customHeight="1" x14ac:dyDescent="0.25">
      <c r="A159" s="138"/>
      <c r="B159" s="153"/>
      <c r="C159" s="153"/>
      <c r="D159" s="133" t="s">
        <v>131</v>
      </c>
      <c r="E159" s="129" t="s">
        <v>31</v>
      </c>
      <c r="F159" s="183" t="s">
        <v>326</v>
      </c>
      <c r="G159" s="147" t="s">
        <v>201</v>
      </c>
      <c r="H159" s="38"/>
      <c r="I159" s="132" t="s">
        <v>26</v>
      </c>
      <c r="J159" s="136">
        <f t="shared" si="50"/>
        <v>140.43</v>
      </c>
      <c r="K159" s="135">
        <f t="shared" si="53"/>
        <v>140.43</v>
      </c>
      <c r="L159" s="31"/>
      <c r="M159" s="31"/>
      <c r="N159" s="178">
        <v>140.43</v>
      </c>
      <c r="O159" s="127">
        <f t="shared" si="44"/>
        <v>147.45150000000001</v>
      </c>
    </row>
    <row r="160" spans="1:15" s="29" customFormat="1" ht="40.049999999999997" customHeight="1" x14ac:dyDescent="0.25">
      <c r="A160" s="138"/>
      <c r="B160" s="153"/>
      <c r="C160" s="153"/>
      <c r="D160" s="133" t="s">
        <v>132</v>
      </c>
      <c r="E160" s="129" t="s">
        <v>31</v>
      </c>
      <c r="F160" s="183" t="s">
        <v>325</v>
      </c>
      <c r="G160" s="147" t="s">
        <v>201</v>
      </c>
      <c r="H160" s="38"/>
      <c r="I160" s="132" t="s">
        <v>26</v>
      </c>
      <c r="J160" s="136">
        <f t="shared" si="50"/>
        <v>105.3</v>
      </c>
      <c r="K160" s="135">
        <f t="shared" si="53"/>
        <v>105.3</v>
      </c>
      <c r="L160" s="31"/>
      <c r="M160" s="31"/>
      <c r="N160" s="178">
        <v>105.3</v>
      </c>
      <c r="O160" s="127">
        <f t="shared" si="44"/>
        <v>110.565</v>
      </c>
    </row>
    <row r="161" spans="1:15" s="30" customFormat="1" ht="21.15" customHeight="1" x14ac:dyDescent="0.25">
      <c r="A161" s="20"/>
      <c r="B161" s="500"/>
      <c r="C161" s="292"/>
      <c r="D161" s="471" t="s">
        <v>71</v>
      </c>
      <c r="E161" s="32" t="s">
        <v>72</v>
      </c>
      <c r="F161" s="183" t="s">
        <v>333</v>
      </c>
      <c r="G161" s="147" t="s">
        <v>289</v>
      </c>
      <c r="H161" s="500"/>
      <c r="I161" s="488" t="s">
        <v>45</v>
      </c>
      <c r="J161" s="136">
        <f t="shared" si="50"/>
        <v>103.79</v>
      </c>
      <c r="K161" s="135">
        <f t="shared" si="53"/>
        <v>103.79</v>
      </c>
      <c r="L161" s="31"/>
      <c r="M161" s="31"/>
      <c r="N161" s="178">
        <v>103.79</v>
      </c>
      <c r="O161" s="127">
        <f t="shared" si="44"/>
        <v>108.97950000000002</v>
      </c>
    </row>
    <row r="162" spans="1:15" s="30" customFormat="1" ht="21.15" customHeight="1" x14ac:dyDescent="0.25">
      <c r="A162" s="20"/>
      <c r="B162" s="501"/>
      <c r="C162" s="293"/>
      <c r="D162" s="472"/>
      <c r="E162" s="147"/>
      <c r="F162" s="183" t="s">
        <v>332</v>
      </c>
      <c r="G162" s="147" t="s">
        <v>286</v>
      </c>
      <c r="H162" s="501"/>
      <c r="I162" s="489"/>
      <c r="J162" s="136">
        <f t="shared" ref="J162:J164" si="64">K162-K162*$K$3</f>
        <v>103.79</v>
      </c>
      <c r="K162" s="135">
        <f t="shared" si="53"/>
        <v>103.79</v>
      </c>
      <c r="L162" s="31"/>
      <c r="M162" s="31"/>
      <c r="N162" s="178">
        <v>103.79</v>
      </c>
      <c r="O162" s="135">
        <f t="shared" ref="O162:O164" si="65">N162*1.05</f>
        <v>108.97950000000002</v>
      </c>
    </row>
    <row r="163" spans="1:15" s="30" customFormat="1" ht="21.15" customHeight="1" x14ac:dyDescent="0.25">
      <c r="A163" s="20"/>
      <c r="B163" s="501"/>
      <c r="C163" s="293"/>
      <c r="D163" s="472"/>
      <c r="E163" s="147"/>
      <c r="F163" s="183" t="s">
        <v>347</v>
      </c>
      <c r="G163" s="147" t="s">
        <v>285</v>
      </c>
      <c r="H163" s="501"/>
      <c r="I163" s="489"/>
      <c r="J163" s="136">
        <f t="shared" si="64"/>
        <v>103.79</v>
      </c>
      <c r="K163" s="135">
        <f t="shared" ref="K163:K169" si="66">IF($K$2=$N$2,N163,O163)</f>
        <v>103.79</v>
      </c>
      <c r="L163" s="31"/>
      <c r="M163" s="31"/>
      <c r="N163" s="178">
        <v>103.79</v>
      </c>
      <c r="O163" s="135">
        <f t="shared" si="65"/>
        <v>108.97950000000002</v>
      </c>
    </row>
    <row r="164" spans="1:15" s="30" customFormat="1" ht="21.15" customHeight="1" x14ac:dyDescent="0.25">
      <c r="A164" s="20"/>
      <c r="B164" s="502"/>
      <c r="C164" s="294"/>
      <c r="D164" s="473"/>
      <c r="E164" s="147"/>
      <c r="F164" s="183" t="s">
        <v>359</v>
      </c>
      <c r="G164" s="147" t="s">
        <v>284</v>
      </c>
      <c r="H164" s="502"/>
      <c r="I164" s="490"/>
      <c r="J164" s="136">
        <f t="shared" si="64"/>
        <v>103.79</v>
      </c>
      <c r="K164" s="135">
        <f t="shared" si="66"/>
        <v>103.79</v>
      </c>
      <c r="L164" s="31"/>
      <c r="M164" s="31"/>
      <c r="N164" s="178">
        <v>103.79</v>
      </c>
      <c r="O164" s="135">
        <f t="shared" si="65"/>
        <v>108.97950000000002</v>
      </c>
    </row>
    <row r="165" spans="1:15" ht="21.15" customHeight="1" x14ac:dyDescent="0.3">
      <c r="B165" s="506"/>
      <c r="C165" s="301"/>
      <c r="D165" s="491" t="s">
        <v>213</v>
      </c>
      <c r="E165" s="113" t="s">
        <v>214</v>
      </c>
      <c r="F165" s="183" t="s">
        <v>335</v>
      </c>
      <c r="G165" s="113" t="s">
        <v>289</v>
      </c>
      <c r="H165" s="503"/>
      <c r="I165" s="508" t="s">
        <v>45</v>
      </c>
      <c r="J165" s="40">
        <f t="shared" ref="J165" si="67">K165-K165*$K$3</f>
        <v>33.47</v>
      </c>
      <c r="K165" s="175">
        <f t="shared" si="66"/>
        <v>33.47</v>
      </c>
      <c r="L165" s="31"/>
      <c r="M165" s="31"/>
      <c r="N165" s="178">
        <v>33.47</v>
      </c>
      <c r="O165" s="175">
        <f>N165*1.05</f>
        <v>35.143500000000003</v>
      </c>
    </row>
    <row r="166" spans="1:15" ht="21.15" customHeight="1" x14ac:dyDescent="0.3">
      <c r="B166" s="507"/>
      <c r="C166" s="302"/>
      <c r="D166" s="493"/>
      <c r="E166" s="113"/>
      <c r="F166" s="183" t="s">
        <v>334</v>
      </c>
      <c r="G166" s="113" t="s">
        <v>285</v>
      </c>
      <c r="H166" s="505"/>
      <c r="I166" s="509"/>
      <c r="J166" s="40">
        <f t="shared" ref="J166:J169" si="68">K166-K166*$K$3</f>
        <v>33.47</v>
      </c>
      <c r="K166" s="175">
        <f t="shared" si="66"/>
        <v>33.47</v>
      </c>
      <c r="L166" s="31"/>
      <c r="M166" s="31"/>
      <c r="N166" s="178">
        <v>33.47</v>
      </c>
      <c r="O166" s="175">
        <f>N166*1.05</f>
        <v>35.143500000000003</v>
      </c>
    </row>
    <row r="167" spans="1:15" ht="20.100000000000001" customHeight="1" x14ac:dyDescent="0.3">
      <c r="B167" s="463"/>
      <c r="C167" s="303"/>
      <c r="D167" s="464" t="s">
        <v>391</v>
      </c>
      <c r="E167" s="466" t="s">
        <v>31</v>
      </c>
      <c r="F167" s="291" t="s">
        <v>392</v>
      </c>
      <c r="G167" s="113" t="s">
        <v>285</v>
      </c>
      <c r="H167" s="474"/>
      <c r="I167" s="478" t="s">
        <v>26</v>
      </c>
      <c r="J167" s="136">
        <f t="shared" si="68"/>
        <v>61.71</v>
      </c>
      <c r="K167" s="135">
        <f t="shared" si="66"/>
        <v>61.71</v>
      </c>
      <c r="L167" s="31"/>
      <c r="M167" s="31"/>
      <c r="N167" s="178">
        <v>61.71</v>
      </c>
      <c r="O167" s="175">
        <f>N167*1.05</f>
        <v>64.795500000000004</v>
      </c>
    </row>
    <row r="168" spans="1:15" ht="20.100000000000001" customHeight="1" x14ac:dyDescent="0.3">
      <c r="B168" s="463"/>
      <c r="C168" s="303"/>
      <c r="D168" s="464"/>
      <c r="E168" s="466"/>
      <c r="F168" s="183" t="s">
        <v>393</v>
      </c>
      <c r="G168" s="147" t="s">
        <v>395</v>
      </c>
      <c r="H168" s="474"/>
      <c r="I168" s="478"/>
      <c r="J168" s="136">
        <f t="shared" si="68"/>
        <v>61.71</v>
      </c>
      <c r="K168" s="135">
        <f t="shared" si="66"/>
        <v>61.71</v>
      </c>
      <c r="L168" s="31"/>
      <c r="M168" s="31"/>
      <c r="N168" s="178">
        <v>61.71</v>
      </c>
      <c r="O168" s="175">
        <f t="shared" ref="O168:O169" si="69">N168*1.05</f>
        <v>64.795500000000004</v>
      </c>
    </row>
    <row r="169" spans="1:15" ht="20.100000000000001" customHeight="1" x14ac:dyDescent="0.3">
      <c r="B169" s="463"/>
      <c r="C169" s="303"/>
      <c r="D169" s="464"/>
      <c r="E169" s="466"/>
      <c r="F169" s="183" t="s">
        <v>394</v>
      </c>
      <c r="G169" s="147" t="s">
        <v>284</v>
      </c>
      <c r="H169" s="474"/>
      <c r="I169" s="478"/>
      <c r="J169" s="136">
        <f t="shared" si="68"/>
        <v>61.71</v>
      </c>
      <c r="K169" s="135">
        <f t="shared" si="66"/>
        <v>61.71</v>
      </c>
      <c r="L169" s="31"/>
      <c r="M169" s="31"/>
      <c r="N169" s="178">
        <v>61.71</v>
      </c>
      <c r="O169" s="175">
        <f t="shared" si="69"/>
        <v>64.795500000000004</v>
      </c>
    </row>
    <row r="170" spans="1:15" ht="17.399999999999999" customHeight="1" x14ac:dyDescent="0.3">
      <c r="B170" s="191" t="s">
        <v>231</v>
      </c>
      <c r="C170" s="314"/>
      <c r="D170" s="191"/>
      <c r="E170" s="191"/>
      <c r="F170" s="191"/>
      <c r="G170" s="191"/>
      <c r="H170" s="191"/>
      <c r="I170" s="191"/>
      <c r="J170" s="191"/>
      <c r="K170" s="191"/>
      <c r="L170" s="31"/>
      <c r="M170" s="31"/>
      <c r="N170" s="142" t="e">
        <v>#N/A</v>
      </c>
      <c r="O170" s="180"/>
    </row>
    <row r="171" spans="1:15" ht="20.100000000000001" customHeight="1" x14ac:dyDescent="0.3">
      <c r="B171" s="500"/>
      <c r="C171" s="292"/>
      <c r="D171" s="471" t="s">
        <v>75</v>
      </c>
      <c r="E171" s="129" t="s">
        <v>133</v>
      </c>
      <c r="F171" s="183" t="s">
        <v>362</v>
      </c>
      <c r="G171" s="147" t="s">
        <v>201</v>
      </c>
      <c r="H171" s="503"/>
      <c r="I171" s="488" t="s">
        <v>26</v>
      </c>
      <c r="J171" s="40">
        <f>K171-K171*$K$3</f>
        <v>12.6</v>
      </c>
      <c r="K171" s="175">
        <f t="shared" ref="K171:K184" si="70">IF($K$2=$N$2,N171,O171)</f>
        <v>12.6</v>
      </c>
      <c r="L171" s="31"/>
      <c r="M171" s="31"/>
      <c r="N171" s="178">
        <v>12.6</v>
      </c>
      <c r="O171" s="175">
        <f t="shared" ref="O171:O184" si="71">N171*1.05</f>
        <v>13.23</v>
      </c>
    </row>
    <row r="172" spans="1:15" ht="20.100000000000001" customHeight="1" x14ac:dyDescent="0.3">
      <c r="B172" s="501"/>
      <c r="C172" s="293"/>
      <c r="D172" s="472"/>
      <c r="E172" s="134"/>
      <c r="F172" s="183" t="s">
        <v>363</v>
      </c>
      <c r="G172" s="147" t="s">
        <v>292</v>
      </c>
      <c r="H172" s="504"/>
      <c r="I172" s="489"/>
      <c r="J172" s="40">
        <f t="shared" ref="J172:J173" si="72">K172-K172*$K$3</f>
        <v>12.6</v>
      </c>
      <c r="K172" s="175">
        <f t="shared" si="70"/>
        <v>12.6</v>
      </c>
      <c r="L172" s="31"/>
      <c r="M172" s="31"/>
      <c r="N172" s="178">
        <v>12.6</v>
      </c>
      <c r="O172" s="175">
        <f t="shared" ref="O172:O173" si="73">N172*1.05</f>
        <v>13.23</v>
      </c>
    </row>
    <row r="173" spans="1:15" ht="20.100000000000001" customHeight="1" x14ac:dyDescent="0.3">
      <c r="B173" s="502"/>
      <c r="C173" s="294"/>
      <c r="D173" s="473"/>
      <c r="E173" s="134"/>
      <c r="F173" s="183" t="s">
        <v>364</v>
      </c>
      <c r="G173" s="147" t="s">
        <v>284</v>
      </c>
      <c r="H173" s="505"/>
      <c r="I173" s="490"/>
      <c r="J173" s="40">
        <f t="shared" si="72"/>
        <v>12.6</v>
      </c>
      <c r="K173" s="175">
        <f t="shared" si="70"/>
        <v>12.6</v>
      </c>
      <c r="L173" s="31"/>
      <c r="M173" s="31"/>
      <c r="N173" s="178">
        <v>12.6</v>
      </c>
      <c r="O173" s="175">
        <f t="shared" si="73"/>
        <v>13.23</v>
      </c>
    </row>
    <row r="174" spans="1:15" ht="38.25" customHeight="1" x14ac:dyDescent="0.3">
      <c r="B174" s="153"/>
      <c r="C174" s="153"/>
      <c r="D174" s="133" t="s">
        <v>134</v>
      </c>
      <c r="E174" s="129" t="s">
        <v>135</v>
      </c>
      <c r="F174" s="183" t="s">
        <v>360</v>
      </c>
      <c r="G174" s="147"/>
      <c r="H174" s="39"/>
      <c r="I174" s="132" t="s">
        <v>26</v>
      </c>
      <c r="J174" s="40">
        <f t="shared" ref="J174:J184" si="74">K174-K174*$K$3</f>
        <v>103.59</v>
      </c>
      <c r="K174" s="175">
        <f t="shared" si="70"/>
        <v>103.59</v>
      </c>
      <c r="L174" s="31"/>
      <c r="M174" s="31"/>
      <c r="N174" s="178">
        <v>103.59</v>
      </c>
      <c r="O174" s="175">
        <f t="shared" si="71"/>
        <v>108.76950000000001</v>
      </c>
    </row>
    <row r="175" spans="1:15" ht="39" customHeight="1" x14ac:dyDescent="0.3">
      <c r="B175" s="153"/>
      <c r="C175" s="153"/>
      <c r="D175" s="133" t="s">
        <v>136</v>
      </c>
      <c r="E175" s="129" t="s">
        <v>135</v>
      </c>
      <c r="F175" s="183" t="s">
        <v>361</v>
      </c>
      <c r="G175" s="147"/>
      <c r="H175" s="39"/>
      <c r="I175" s="132" t="s">
        <v>26</v>
      </c>
      <c r="J175" s="40">
        <f t="shared" si="74"/>
        <v>83.2</v>
      </c>
      <c r="K175" s="175">
        <f t="shared" si="70"/>
        <v>83.2</v>
      </c>
      <c r="L175" s="31"/>
      <c r="M175" s="31"/>
      <c r="N175" s="178">
        <v>83.2</v>
      </c>
      <c r="O175" s="175">
        <f t="shared" si="71"/>
        <v>87.360000000000014</v>
      </c>
    </row>
    <row r="176" spans="1:15" ht="42" customHeight="1" x14ac:dyDescent="0.3">
      <c r="B176" s="153"/>
      <c r="C176" s="153"/>
      <c r="D176" s="133" t="s">
        <v>137</v>
      </c>
      <c r="E176" s="129" t="s">
        <v>36</v>
      </c>
      <c r="F176" s="183" t="s">
        <v>180</v>
      </c>
      <c r="G176" s="147"/>
      <c r="H176" s="39"/>
      <c r="I176" s="32" t="s">
        <v>26</v>
      </c>
      <c r="J176" s="40">
        <f t="shared" si="74"/>
        <v>17.96</v>
      </c>
      <c r="K176" s="175">
        <f t="shared" si="70"/>
        <v>17.96</v>
      </c>
      <c r="L176" s="31"/>
      <c r="M176" s="31"/>
      <c r="N176" s="178">
        <v>17.96</v>
      </c>
      <c r="O176" s="175">
        <f t="shared" si="71"/>
        <v>18.858000000000001</v>
      </c>
    </row>
    <row r="177" spans="2:15" ht="34.5" customHeight="1" x14ac:dyDescent="0.3">
      <c r="B177" s="38"/>
      <c r="C177" s="38"/>
      <c r="D177" s="133" t="s">
        <v>77</v>
      </c>
      <c r="E177" s="129" t="s">
        <v>78</v>
      </c>
      <c r="F177" s="183" t="s">
        <v>365</v>
      </c>
      <c r="G177" s="188" t="s">
        <v>290</v>
      </c>
      <c r="H177" s="39"/>
      <c r="I177" s="32" t="s">
        <v>45</v>
      </c>
      <c r="J177" s="40">
        <f t="shared" si="74"/>
        <v>76.03</v>
      </c>
      <c r="K177" s="175">
        <f t="shared" si="70"/>
        <v>76.03</v>
      </c>
      <c r="L177" s="31"/>
      <c r="M177" s="31"/>
      <c r="N177" s="178">
        <v>76.03</v>
      </c>
      <c r="O177" s="175">
        <f t="shared" si="71"/>
        <v>79.831500000000005</v>
      </c>
    </row>
    <row r="178" spans="2:15" ht="36" customHeight="1" x14ac:dyDescent="0.3">
      <c r="B178" s="500"/>
      <c r="C178" s="292"/>
      <c r="D178" s="471" t="s">
        <v>138</v>
      </c>
      <c r="E178" s="129" t="s">
        <v>78</v>
      </c>
      <c r="F178" s="183" t="s">
        <v>366</v>
      </c>
      <c r="G178" s="188" t="s">
        <v>290</v>
      </c>
      <c r="H178" s="39"/>
      <c r="I178" s="132" t="s">
        <v>45</v>
      </c>
      <c r="J178" s="40">
        <f t="shared" si="74"/>
        <v>44.33</v>
      </c>
      <c r="K178" s="175">
        <f t="shared" si="70"/>
        <v>44.33</v>
      </c>
      <c r="L178" s="31"/>
      <c r="M178" s="31"/>
      <c r="N178" s="178">
        <v>44.33</v>
      </c>
      <c r="O178" s="175">
        <f t="shared" si="71"/>
        <v>46.546500000000002</v>
      </c>
    </row>
    <row r="179" spans="2:15" ht="32.25" customHeight="1" x14ac:dyDescent="0.3">
      <c r="B179" s="502"/>
      <c r="C179" s="294"/>
      <c r="D179" s="473"/>
      <c r="E179" s="129" t="s">
        <v>78</v>
      </c>
      <c r="F179" s="183" t="s">
        <v>367</v>
      </c>
      <c r="G179" s="188" t="s">
        <v>291</v>
      </c>
      <c r="H179" s="39"/>
      <c r="I179" s="132" t="s">
        <v>45</v>
      </c>
      <c r="J179" s="40">
        <f t="shared" si="74"/>
        <v>44.33</v>
      </c>
      <c r="K179" s="175">
        <f t="shared" si="70"/>
        <v>44.33</v>
      </c>
      <c r="L179" s="31"/>
      <c r="M179" s="31"/>
      <c r="N179" s="178">
        <v>44.33</v>
      </c>
      <c r="O179" s="175">
        <f t="shared" si="71"/>
        <v>46.546500000000002</v>
      </c>
    </row>
    <row r="180" spans="2:15" ht="20.100000000000001" customHeight="1" x14ac:dyDescent="0.3">
      <c r="B180" s="500"/>
      <c r="C180" s="292"/>
      <c r="D180" s="471" t="s">
        <v>139</v>
      </c>
      <c r="E180" s="129" t="s">
        <v>140</v>
      </c>
      <c r="F180" s="183" t="s">
        <v>369</v>
      </c>
      <c r="G180" s="147" t="s">
        <v>289</v>
      </c>
      <c r="H180" s="503"/>
      <c r="I180" s="488" t="s">
        <v>45</v>
      </c>
      <c r="J180" s="40">
        <f t="shared" si="74"/>
        <v>26.32</v>
      </c>
      <c r="K180" s="175">
        <f t="shared" si="70"/>
        <v>26.32</v>
      </c>
      <c r="L180" s="31"/>
      <c r="M180" s="31"/>
      <c r="N180" s="178">
        <v>26.32</v>
      </c>
      <c r="O180" s="175">
        <f t="shared" si="71"/>
        <v>27.636000000000003</v>
      </c>
    </row>
    <row r="181" spans="2:15" ht="20.100000000000001" customHeight="1" x14ac:dyDescent="0.3">
      <c r="B181" s="501"/>
      <c r="C181" s="293"/>
      <c r="D181" s="472"/>
      <c r="E181" s="134"/>
      <c r="F181" s="183" t="s">
        <v>370</v>
      </c>
      <c r="G181" s="147" t="s">
        <v>286</v>
      </c>
      <c r="H181" s="504"/>
      <c r="I181" s="489"/>
      <c r="J181" s="40">
        <f t="shared" ref="J181:J183" si="75">K181-K181*$K$3</f>
        <v>26.32</v>
      </c>
      <c r="K181" s="175">
        <f t="shared" si="70"/>
        <v>26.32</v>
      </c>
      <c r="L181" s="31"/>
      <c r="M181" s="31"/>
      <c r="N181" s="178">
        <v>26.32</v>
      </c>
      <c r="O181" s="175">
        <f t="shared" ref="O181:O183" si="76">N181*1.05</f>
        <v>27.636000000000003</v>
      </c>
    </row>
    <row r="182" spans="2:15" ht="20.100000000000001" customHeight="1" x14ac:dyDescent="0.3">
      <c r="B182" s="501"/>
      <c r="C182" s="293"/>
      <c r="D182" s="472"/>
      <c r="E182" s="134"/>
      <c r="F182" s="183" t="s">
        <v>371</v>
      </c>
      <c r="G182" s="147" t="s">
        <v>285</v>
      </c>
      <c r="H182" s="504"/>
      <c r="I182" s="489"/>
      <c r="J182" s="40">
        <f t="shared" si="75"/>
        <v>26.32</v>
      </c>
      <c r="K182" s="175">
        <f t="shared" si="70"/>
        <v>26.32</v>
      </c>
      <c r="L182" s="31"/>
      <c r="M182" s="31"/>
      <c r="N182" s="178">
        <v>26.32</v>
      </c>
      <c r="O182" s="175">
        <f t="shared" si="76"/>
        <v>27.636000000000003</v>
      </c>
    </row>
    <row r="183" spans="2:15" ht="20.100000000000001" customHeight="1" x14ac:dyDescent="0.3">
      <c r="B183" s="502"/>
      <c r="C183" s="294"/>
      <c r="D183" s="473"/>
      <c r="E183" s="134"/>
      <c r="F183" s="183" t="s">
        <v>372</v>
      </c>
      <c r="G183" s="147" t="s">
        <v>284</v>
      </c>
      <c r="H183" s="505"/>
      <c r="I183" s="490"/>
      <c r="J183" s="40">
        <f t="shared" si="75"/>
        <v>26.32</v>
      </c>
      <c r="K183" s="175">
        <f t="shared" si="70"/>
        <v>26.32</v>
      </c>
      <c r="L183" s="31"/>
      <c r="M183" s="31"/>
      <c r="N183" s="178">
        <v>26.32</v>
      </c>
      <c r="O183" s="175">
        <f t="shared" si="76"/>
        <v>27.636000000000003</v>
      </c>
    </row>
    <row r="184" spans="2:15" ht="39" customHeight="1" x14ac:dyDescent="0.3">
      <c r="B184" s="153"/>
      <c r="C184" s="153"/>
      <c r="D184" s="133" t="s">
        <v>76</v>
      </c>
      <c r="E184" s="129" t="s">
        <v>65</v>
      </c>
      <c r="F184" s="183" t="s">
        <v>368</v>
      </c>
      <c r="G184" s="147"/>
      <c r="H184" s="39"/>
      <c r="I184" s="132" t="s">
        <v>26</v>
      </c>
      <c r="J184" s="40">
        <f t="shared" si="74"/>
        <v>10.4</v>
      </c>
      <c r="K184" s="175">
        <f t="shared" si="70"/>
        <v>10.4</v>
      </c>
      <c r="L184" s="31"/>
      <c r="M184" s="31"/>
      <c r="N184" s="178">
        <v>10.4</v>
      </c>
      <c r="O184" s="175">
        <f t="shared" si="71"/>
        <v>10.920000000000002</v>
      </c>
    </row>
    <row r="185" spans="2:15" ht="25.2" customHeight="1" x14ac:dyDescent="0.3">
      <c r="B185" s="500"/>
      <c r="C185" s="153"/>
      <c r="D185" s="471" t="s">
        <v>447</v>
      </c>
      <c r="E185" s="345" t="s">
        <v>65</v>
      </c>
      <c r="F185" s="183" t="s">
        <v>448</v>
      </c>
      <c r="G185" s="147"/>
      <c r="H185" s="39"/>
      <c r="I185" s="346" t="s">
        <v>26</v>
      </c>
      <c r="J185" s="40">
        <f t="shared" ref="J185" si="77">K185-K185*$K$3</f>
        <v>797.31</v>
      </c>
      <c r="K185" s="175">
        <f t="shared" ref="K185" si="78">IF($K$2=$N$2,N185,O185)</f>
        <v>797.31</v>
      </c>
      <c r="L185" s="31"/>
      <c r="M185" s="31"/>
      <c r="N185" s="190">
        <v>797.31</v>
      </c>
      <c r="O185" s="175">
        <f t="shared" ref="O185:O188" si="79">N185*1.05</f>
        <v>837.17549999999994</v>
      </c>
    </row>
    <row r="186" spans="2:15" ht="19.95" customHeight="1" x14ac:dyDescent="0.3">
      <c r="B186" s="501"/>
      <c r="C186" s="153"/>
      <c r="D186" s="472"/>
      <c r="E186" s="345" t="s">
        <v>65</v>
      </c>
      <c r="F186" s="183" t="s">
        <v>449</v>
      </c>
      <c r="G186" s="147"/>
      <c r="H186" s="39"/>
      <c r="I186" s="346" t="s">
        <v>26</v>
      </c>
      <c r="J186" s="40">
        <f t="shared" ref="J186:J188" si="80">K186-K186*$K$3</f>
        <v>797.31</v>
      </c>
      <c r="K186" s="175">
        <f t="shared" ref="K186:K188" si="81">IF($K$2=$N$2,N186,O186)</f>
        <v>797.31</v>
      </c>
      <c r="M186" s="31"/>
      <c r="N186" s="190">
        <v>797.31</v>
      </c>
      <c r="O186" s="175">
        <f t="shared" si="79"/>
        <v>837.17549999999994</v>
      </c>
    </row>
    <row r="187" spans="2:15" ht="19.95" customHeight="1" x14ac:dyDescent="0.3">
      <c r="B187" s="501"/>
      <c r="C187" s="153"/>
      <c r="D187" s="472"/>
      <c r="E187" s="345" t="s">
        <v>65</v>
      </c>
      <c r="F187" s="183" t="s">
        <v>450</v>
      </c>
      <c r="G187" s="147"/>
      <c r="H187" s="39"/>
      <c r="I187" s="346" t="s">
        <v>26</v>
      </c>
      <c r="J187" s="40">
        <f t="shared" si="80"/>
        <v>797.31</v>
      </c>
      <c r="K187" s="175">
        <f t="shared" si="81"/>
        <v>797.31</v>
      </c>
      <c r="M187" s="31"/>
      <c r="N187" s="190">
        <v>797.31</v>
      </c>
      <c r="O187" s="175">
        <f t="shared" si="79"/>
        <v>837.17549999999994</v>
      </c>
    </row>
    <row r="188" spans="2:15" ht="19.95" customHeight="1" x14ac:dyDescent="0.3">
      <c r="B188" s="502"/>
      <c r="C188" s="153"/>
      <c r="D188" s="473"/>
      <c r="E188" s="345" t="s">
        <v>65</v>
      </c>
      <c r="F188" s="183" t="s">
        <v>451</v>
      </c>
      <c r="G188" s="147"/>
      <c r="H188" s="39"/>
      <c r="I188" s="346" t="s">
        <v>26</v>
      </c>
      <c r="J188" s="40">
        <f t="shared" si="80"/>
        <v>797.31</v>
      </c>
      <c r="K188" s="175">
        <f t="shared" si="81"/>
        <v>797.31</v>
      </c>
      <c r="M188" s="31"/>
      <c r="N188" s="190">
        <v>797.31</v>
      </c>
      <c r="O188" s="175">
        <f t="shared" si="79"/>
        <v>837.17549999999994</v>
      </c>
    </row>
    <row r="189" spans="2:15" ht="19.95" customHeight="1" x14ac:dyDescent="0.3"/>
    <row r="190" spans="2:15" ht="19.95" customHeight="1" x14ac:dyDescent="0.3"/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</sheetData>
  <sheetProtection algorithmName="SHA-512" hashValue="IcHZUelgs0LT46PWWjtLCoV7QawV/qughhYtU/ebRTPVUGibdtc899//NaClgDzwU9hY3cmYtXez8JaS96Z2Tw==" saltValue="v3CpnYrnAlGLbvubHhCB4g==" spinCount="100000" sheet="1" objects="1" selectLockedCells="1"/>
  <mergeCells count="131">
    <mergeCell ref="B185:B188"/>
    <mergeCell ref="D185:D188"/>
    <mergeCell ref="H6:H18"/>
    <mergeCell ref="I6:I18"/>
    <mergeCell ref="B19:B31"/>
    <mergeCell ref="D19:D31"/>
    <mergeCell ref="B86:B98"/>
    <mergeCell ref="D86:D98"/>
    <mergeCell ref="B72:B84"/>
    <mergeCell ref="D72:D84"/>
    <mergeCell ref="H19:H31"/>
    <mergeCell ref="I19:I31"/>
    <mergeCell ref="H72:H84"/>
    <mergeCell ref="I72:I84"/>
    <mergeCell ref="H86:H98"/>
    <mergeCell ref="I86:I98"/>
    <mergeCell ref="E6:E7"/>
    <mergeCell ref="B34:B36"/>
    <mergeCell ref="D34:D36"/>
    <mergeCell ref="H34:H36"/>
    <mergeCell ref="I34:I36"/>
    <mergeCell ref="I32:I33"/>
    <mergeCell ref="E34:E36"/>
    <mergeCell ref="B32:B33"/>
    <mergeCell ref="E8:E13"/>
    <mergeCell ref="E19:E20"/>
    <mergeCell ref="B180:B183"/>
    <mergeCell ref="D180:D183"/>
    <mergeCell ref="H180:H183"/>
    <mergeCell ref="I180:I183"/>
    <mergeCell ref="B165:B166"/>
    <mergeCell ref="D165:D166"/>
    <mergeCell ref="I165:I166"/>
    <mergeCell ref="H165:H166"/>
    <mergeCell ref="B161:B164"/>
    <mergeCell ref="D161:D164"/>
    <mergeCell ref="I161:I164"/>
    <mergeCell ref="H161:H164"/>
    <mergeCell ref="B167:B169"/>
    <mergeCell ref="D167:D169"/>
    <mergeCell ref="E167:E169"/>
    <mergeCell ref="H167:H169"/>
    <mergeCell ref="I167:I169"/>
    <mergeCell ref="D178:D179"/>
    <mergeCell ref="B178:B179"/>
    <mergeCell ref="B171:B173"/>
    <mergeCell ref="D171:D173"/>
    <mergeCell ref="H171:H173"/>
    <mergeCell ref="I171:I173"/>
    <mergeCell ref="I118:I120"/>
    <mergeCell ref="H118:H120"/>
    <mergeCell ref="I124:I127"/>
    <mergeCell ref="H124:H127"/>
    <mergeCell ref="B132:B135"/>
    <mergeCell ref="D132:D135"/>
    <mergeCell ref="E132:E135"/>
    <mergeCell ref="H132:H135"/>
    <mergeCell ref="I132:I135"/>
    <mergeCell ref="B152:B154"/>
    <mergeCell ref="D152:D154"/>
    <mergeCell ref="E152:E154"/>
    <mergeCell ref="H152:H154"/>
    <mergeCell ref="I152:I154"/>
    <mergeCell ref="I143:I145"/>
    <mergeCell ref="I137:I142"/>
    <mergeCell ref="B111:B113"/>
    <mergeCell ref="D111:D113"/>
    <mergeCell ref="B114:B116"/>
    <mergeCell ref="D114:D116"/>
    <mergeCell ref="I111:I113"/>
    <mergeCell ref="I114:I116"/>
    <mergeCell ref="H114:H116"/>
    <mergeCell ref="H111:H113"/>
    <mergeCell ref="B124:B127"/>
    <mergeCell ref="D124:D127"/>
    <mergeCell ref="B121:B123"/>
    <mergeCell ref="D121:D123"/>
    <mergeCell ref="E121:E123"/>
    <mergeCell ref="H121:H123"/>
    <mergeCell ref="I121:I123"/>
    <mergeCell ref="B118:B120"/>
    <mergeCell ref="D118:D120"/>
    <mergeCell ref="D107:D110"/>
    <mergeCell ref="E107:E110"/>
    <mergeCell ref="H107:H110"/>
    <mergeCell ref="I107:I110"/>
    <mergeCell ref="E86:E93"/>
    <mergeCell ref="B104:B106"/>
    <mergeCell ref="D104:D106"/>
    <mergeCell ref="E104:E106"/>
    <mergeCell ref="H104:H106"/>
    <mergeCell ref="I104:I106"/>
    <mergeCell ref="H100:H102"/>
    <mergeCell ref="I100:I102"/>
    <mergeCell ref="B6:B18"/>
    <mergeCell ref="D6:D18"/>
    <mergeCell ref="B143:B145"/>
    <mergeCell ref="D143:D145"/>
    <mergeCell ref="E143:E145"/>
    <mergeCell ref="H143:H145"/>
    <mergeCell ref="D140:D142"/>
    <mergeCell ref="B137:B142"/>
    <mergeCell ref="D137:D139"/>
    <mergeCell ref="E137:E142"/>
    <mergeCell ref="H137:H142"/>
    <mergeCell ref="H32:H33"/>
    <mergeCell ref="B50:B62"/>
    <mergeCell ref="D50:D62"/>
    <mergeCell ref="E52:E62"/>
    <mergeCell ref="H50:H62"/>
    <mergeCell ref="D32:D33"/>
    <mergeCell ref="E21:E26"/>
    <mergeCell ref="E32:E33"/>
    <mergeCell ref="E37:E38"/>
    <mergeCell ref="B37:B49"/>
    <mergeCell ref="D37:D49"/>
    <mergeCell ref="E39:E49"/>
    <mergeCell ref="B107:B110"/>
    <mergeCell ref="I50:I62"/>
    <mergeCell ref="B100:B102"/>
    <mergeCell ref="D100:D102"/>
    <mergeCell ref="E100:E102"/>
    <mergeCell ref="E50:E51"/>
    <mergeCell ref="E63:E71"/>
    <mergeCell ref="H37:H49"/>
    <mergeCell ref="I37:I49"/>
    <mergeCell ref="E72:E79"/>
    <mergeCell ref="B63:B71"/>
    <mergeCell ref="D63:D71"/>
    <mergeCell ref="H63:H71"/>
    <mergeCell ref="I63:I71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Подвесная</vt:lpstr>
      <vt:lpstr>Распашная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2023-07-19T09:54:49Z</cp:lastPrinted>
  <dcterms:created xsi:type="dcterms:W3CDTF">2015-02-11T05:31:15Z</dcterms:created>
  <dcterms:modified xsi:type="dcterms:W3CDTF">2023-09-26T09:29:30Z</dcterms:modified>
</cp:coreProperties>
</file>