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ЭтаКнига" defaultThemeVersion="124226"/>
  <xr:revisionPtr revIDLastSave="0" documentId="13_ncr:1_{D0C82A03-3017-4059-B601-BABDBE072615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Stella" sheetId="1" r:id="rId1"/>
    <sheet name="Прайс" sheetId="2" state="hidden" r:id="rId2"/>
  </sheets>
  <definedNames>
    <definedName name="_xlnm.Print_Area" localSheetId="0">Stella!$B$2:$M$55</definedName>
  </definedNames>
  <calcPr calcId="191029"/>
</workbook>
</file>

<file path=xl/calcChain.xml><?xml version="1.0" encoding="utf-8"?>
<calcChain xmlns="http://schemas.openxmlformats.org/spreadsheetml/2006/main">
  <c r="K34" i="1" l="1"/>
  <c r="K16" i="1"/>
  <c r="K15" i="1"/>
  <c r="K19" i="1"/>
  <c r="K18" i="1"/>
  <c r="K17" i="1"/>
  <c r="K9" i="1"/>
  <c r="K8" i="1"/>
  <c r="K29" i="1"/>
  <c r="L24" i="1"/>
  <c r="L23" i="1"/>
  <c r="L22" i="1"/>
  <c r="L21" i="1"/>
  <c r="L15" i="1"/>
  <c r="L20" i="1"/>
  <c r="K42" i="1"/>
  <c r="K41" i="1"/>
  <c r="K32" i="1"/>
  <c r="K31" i="1"/>
  <c r="K24" i="1"/>
  <c r="K23" i="1"/>
  <c r="K22" i="1"/>
  <c r="K21" i="1"/>
  <c r="L19" i="1" l="1"/>
  <c r="L18" i="1"/>
  <c r="L17" i="1"/>
  <c r="L16" i="1"/>
  <c r="F8" i="2" l="1"/>
  <c r="F19" i="2"/>
  <c r="F29" i="2"/>
  <c r="E4" i="2" l="1"/>
  <c r="F4" i="2" s="1"/>
  <c r="E33" i="2"/>
  <c r="F33" i="2" s="1"/>
  <c r="E32" i="2"/>
  <c r="F32" i="2" s="1"/>
  <c r="E31" i="2"/>
  <c r="F31" i="2" s="1"/>
  <c r="E30" i="2"/>
  <c r="F30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7" i="2"/>
  <c r="F7" i="2" s="1"/>
  <c r="E6" i="2"/>
  <c r="F6" i="2" s="1"/>
  <c r="E5" i="2"/>
  <c r="F5" i="2" s="1"/>
  <c r="K14" i="1" l="1"/>
  <c r="K13" i="1"/>
  <c r="K12" i="1"/>
  <c r="K11" i="1"/>
  <c r="L8" i="1"/>
  <c r="L14" i="1"/>
  <c r="L13" i="1"/>
  <c r="L12" i="1"/>
  <c r="L11" i="1"/>
  <c r="L10" i="1"/>
  <c r="K30" i="1" l="1"/>
  <c r="L9" i="1"/>
  <c r="K37" i="1" s="1"/>
  <c r="K33" i="1"/>
  <c r="K38" i="1"/>
  <c r="C19" i="1"/>
  <c r="M8" i="1" l="1"/>
  <c r="C22" i="1"/>
  <c r="K35" i="1"/>
  <c r="K36" i="1"/>
  <c r="K20" i="1" l="1"/>
  <c r="M20" i="1" s="1"/>
  <c r="K39" i="1" s="1"/>
  <c r="M15" i="1"/>
  <c r="K10" i="1"/>
  <c r="M10" i="1" s="1"/>
  <c r="K40" i="1" l="1"/>
</calcChain>
</file>

<file path=xl/sharedStrings.xml><?xml version="1.0" encoding="utf-8"?>
<sst xmlns="http://schemas.openxmlformats.org/spreadsheetml/2006/main" count="199" uniqueCount="157">
  <si>
    <t>размер</t>
  </si>
  <si>
    <t>количество</t>
  </si>
  <si>
    <t>Фурнитура:</t>
  </si>
  <si>
    <t>РЕЗУЛЬТАТ РАСЧЁТА</t>
  </si>
  <si>
    <t>ВВОД ИСХОДНЫХ ДАННЫХ ДЛЯ РАСЧЁТА</t>
  </si>
  <si>
    <t>артикул</t>
  </si>
  <si>
    <t>Профиль несущий</t>
  </si>
  <si>
    <t>Кол-во хлыстов</t>
  </si>
  <si>
    <t>Кол-во деталей</t>
  </si>
  <si>
    <t>Выберите вариант установки стеллажной</t>
  </si>
  <si>
    <t>пол-потолок</t>
  </si>
  <si>
    <t>пол-стена</t>
  </si>
  <si>
    <t>Количество секций</t>
  </si>
  <si>
    <t>Высота проема</t>
  </si>
  <si>
    <t>Ширина проема</t>
  </si>
  <si>
    <t>Секция 1</t>
  </si>
  <si>
    <t>Кол-во штанг</t>
  </si>
  <si>
    <t>Ширина секции</t>
  </si>
  <si>
    <t>Секция 2</t>
  </si>
  <si>
    <t>Секция 3</t>
  </si>
  <si>
    <t>Секция 4</t>
  </si>
  <si>
    <t>Секция 5</t>
  </si>
  <si>
    <t>Ширина конструкции</t>
  </si>
  <si>
    <t>Штанга секция 1</t>
  </si>
  <si>
    <t>Штанга секция 2</t>
  </si>
  <si>
    <t>Штанга секция 3</t>
  </si>
  <si>
    <t>Штанга секция 4</t>
  </si>
  <si>
    <t>Штанга секция 5</t>
  </si>
  <si>
    <t>Ножка регулируемая</t>
  </si>
  <si>
    <t>Крепление стеновое</t>
  </si>
  <si>
    <t>Крепление полкодержателя</t>
  </si>
  <si>
    <t>Штангодержатель</t>
  </si>
  <si>
    <t>Соединитель 90° несущего профиля</t>
  </si>
  <si>
    <t>Заглушка несущего профиля</t>
  </si>
  <si>
    <t>Уплотнитель для штанги</t>
  </si>
  <si>
    <t>пол-потолок зонирование</t>
  </si>
  <si>
    <t>Количество полок ЛДСП, общее</t>
  </si>
  <si>
    <t>Укажите высоту конструкции (высота от пола до края профиля)</t>
  </si>
  <si>
    <t>Пол-потолок</t>
  </si>
  <si>
    <t>Пол-стена</t>
  </si>
  <si>
    <t>серебро матовое</t>
  </si>
  <si>
    <t>черный матовый</t>
  </si>
  <si>
    <t>SA0196.VP540.SLMAN.CJ</t>
  </si>
  <si>
    <t>SA0195.VP540.SLMAN.CJ</t>
  </si>
  <si>
    <t>SA0199.VP540.SLMAN.CJ</t>
  </si>
  <si>
    <t>SA0198.VP540.SLMAN.CJ</t>
  </si>
  <si>
    <t>SA0196.VP540.BKSPC.CJ</t>
  </si>
  <si>
    <t>SA0195.VP540.BKSPC.CJ</t>
  </si>
  <si>
    <t>SA0702.VP540.BKSPC.CJ</t>
  </si>
  <si>
    <t>SA0198.VP540.BKSPC.CJ</t>
  </si>
  <si>
    <t>Ценовая группа/ Номенклатура/ Характеристика номенклатуры</t>
  </si>
  <si>
    <t xml:space="preserve">Номенклатура.Артикул </t>
  </si>
  <si>
    <t>ОПТОВАЯ от 12.04.2021</t>
  </si>
  <si>
    <t>АРИСТО (-40%)</t>
  </si>
  <si>
    <t>Цена</t>
  </si>
  <si>
    <t>Ед.</t>
  </si>
  <si>
    <t>шт</t>
  </si>
  <si>
    <t>компл</t>
  </si>
  <si>
    <t xml:space="preserve">        Стеллаж матовый хром</t>
  </si>
  <si>
    <t xml:space="preserve">            Полкодержатель, Серебро матовое</t>
  </si>
  <si>
    <t xml:space="preserve">            Профиль несущий, Серебро матовое</t>
  </si>
  <si>
    <t xml:space="preserve">            Штанга для обуви, Серебро матовое</t>
  </si>
  <si>
    <t xml:space="preserve">            Штанга, Серебро матовое</t>
  </si>
  <si>
    <t xml:space="preserve">        Стеллаж Фурнитура, матовый хром </t>
  </si>
  <si>
    <t xml:space="preserve">            Держатель штанги для обуви, Серебро матовое</t>
  </si>
  <si>
    <t>SA0026.AP000.SLMPC.CY</t>
  </si>
  <si>
    <t xml:space="preserve">            Заглушка несущего профиля, Серебро матовое</t>
  </si>
  <si>
    <t>SA0030.VP000.SLM00.CY</t>
  </si>
  <si>
    <t xml:space="preserve">            Заглушки полкодержателя, Серебро матовое</t>
  </si>
  <si>
    <t>SA0022.VR000.SLMPC.CY</t>
  </si>
  <si>
    <t xml:space="preserve">            Заглушки штанги для обуви, Серебро матовое</t>
  </si>
  <si>
    <t>SA0262.AR000.SLM00.CY</t>
  </si>
  <si>
    <t xml:space="preserve">            Крепление полкодержателя, Серебро матовое</t>
  </si>
  <si>
    <t>SA0023.VP000.SLMPC.CY</t>
  </si>
  <si>
    <t xml:space="preserve">            Крепление стеновое, Серебро матовое</t>
  </si>
  <si>
    <t>SA0032.VP000.SLMPC.CY</t>
  </si>
  <si>
    <t xml:space="preserve">            Ножка регулируемая, Серебро матовое</t>
  </si>
  <si>
    <t>SA0020.VP000.SLMPC.CY</t>
  </si>
  <si>
    <t xml:space="preserve">            Соединитель 90° несущего профиля, Серебро матовое</t>
  </si>
  <si>
    <t>SA0029.VP000.SLMPC.CY</t>
  </si>
  <si>
    <t xml:space="preserve">            Уплотнитель для штанги, серый (100 м)</t>
  </si>
  <si>
    <t>SA0033.VM100.GR000.RK</t>
  </si>
  <si>
    <t>м</t>
  </si>
  <si>
    <t xml:space="preserve">            Штангодержатель, Серебро матовое</t>
  </si>
  <si>
    <t>SA0021.VP000.SLMPC.CY</t>
  </si>
  <si>
    <t xml:space="preserve">        Стеллаж Фурнитура, черный </t>
  </si>
  <si>
    <t xml:space="preserve">            Держатель штанги для обуви, Чёрный матовый</t>
  </si>
  <si>
    <t>SA0026.AP000.BKSPC.CY</t>
  </si>
  <si>
    <t xml:space="preserve">            Заглушка несущего профиля, Чёрный матовый</t>
  </si>
  <si>
    <t>SA0030.VP000.BKM00.CY</t>
  </si>
  <si>
    <t xml:space="preserve">            Заглушки полкодержателя, Чёрный матовый</t>
  </si>
  <si>
    <t>SA0022.VR000.BKSPC.CY</t>
  </si>
  <si>
    <t xml:space="preserve">            Заглушки штанги для обуви, Чёрный матовый</t>
  </si>
  <si>
    <t>SA0262.AR000.BKM00.CY</t>
  </si>
  <si>
    <t xml:space="preserve">            Крепление полкодержателя, Чёрный матовый</t>
  </si>
  <si>
    <t>SA0023.VP000.BKSPC.CY</t>
  </si>
  <si>
    <t xml:space="preserve">            Крепление стеновое, Чёрный матовый</t>
  </si>
  <si>
    <t>SA0032.VP000.BKSPC.CY</t>
  </si>
  <si>
    <t xml:space="preserve">            Ножка регулируемая, Чёрный матовый</t>
  </si>
  <si>
    <t>SA0020.VP000.BKSPC.CY</t>
  </si>
  <si>
    <t xml:space="preserve">            Соединитель 90° несущего профиля, Чёрный матовый</t>
  </si>
  <si>
    <t>SA0029.VP000.BKSPC.CY</t>
  </si>
  <si>
    <t xml:space="preserve">            Штангодержатель, Чёрный матовый</t>
  </si>
  <si>
    <t>SA0021.VP000.BKSPC.CY</t>
  </si>
  <si>
    <t xml:space="preserve">        Стеллаж черный матовый </t>
  </si>
  <si>
    <t xml:space="preserve">            Полкодержатель, Чёрный матовый</t>
  </si>
  <si>
    <t xml:space="preserve">            Профиль несущий, Чёрный матовый</t>
  </si>
  <si>
    <t xml:space="preserve">            Штанга для обуви 702, Чёрный матовый</t>
  </si>
  <si>
    <t xml:space="preserve">            Штанга, Чёрный матовый</t>
  </si>
  <si>
    <t>Раскрой деталей:</t>
  </si>
  <si>
    <t>Коэффициент</t>
  </si>
  <si>
    <t>Стоимость с учетом коэффициента</t>
  </si>
  <si>
    <t>Цвет системы</t>
  </si>
  <si>
    <t>ST0851</t>
  </si>
  <si>
    <t>ST0717</t>
  </si>
  <si>
    <t>ST0853</t>
  </si>
  <si>
    <t>Глубина полки со стеклом</t>
  </si>
  <si>
    <t>ST0011</t>
  </si>
  <si>
    <t>ST0012</t>
  </si>
  <si>
    <t>Держатель штанги</t>
  </si>
  <si>
    <t>Держатель полки со стеклом</t>
  </si>
  <si>
    <t>ST0013</t>
  </si>
  <si>
    <t>ST0014</t>
  </si>
  <si>
    <t>ST0024</t>
  </si>
  <si>
    <t>Рассеиватель, 2.7 м</t>
  </si>
  <si>
    <t>ST0023</t>
  </si>
  <si>
    <t>ST0020</t>
  </si>
  <si>
    <t>ST0021</t>
  </si>
  <si>
    <t>ST0022</t>
  </si>
  <si>
    <t>AA0033</t>
  </si>
  <si>
    <t>Уплотнитель для полки со стеклом, 2.7 м</t>
  </si>
  <si>
    <t>DE0015</t>
  </si>
  <si>
    <t>Профиль для полки со стеклом секция 1</t>
  </si>
  <si>
    <t>Профиль для полки со стеклом секция 2</t>
  </si>
  <si>
    <t>Профиль для полки со стеклом секция 3</t>
  </si>
  <si>
    <t>Профиль для полки со стеклом секция 4</t>
  </si>
  <si>
    <t>Профиль для полки со стеклом секция 5</t>
  </si>
  <si>
    <t>Боковина полки со стеклом</t>
  </si>
  <si>
    <t>Расчет системы Stella</t>
  </si>
  <si>
    <t>Зонирование</t>
  </si>
  <si>
    <t>Выкатные элементы</t>
  </si>
  <si>
    <t>Заглушка профиля для выкатных элементов</t>
  </si>
  <si>
    <t>ST0025</t>
  </si>
  <si>
    <t>Профиль для выкатных элементов 1</t>
  </si>
  <si>
    <t>Профиль для выкатных элементов 2</t>
  </si>
  <si>
    <t>Профиль для выкатных элементов 3</t>
  </si>
  <si>
    <t>Профиль для выкатных элементов 4</t>
  </si>
  <si>
    <t>Профиль для выкатных элементов 5</t>
  </si>
  <si>
    <t>ST0884</t>
  </si>
  <si>
    <t>Глубина конструкции*</t>
  </si>
  <si>
    <t>Количество тумб для ящиков, общее**</t>
  </si>
  <si>
    <t>Кол-во полок со стеклом***</t>
  </si>
  <si>
    <t>** тумба - это каркас под вкладные ящики или открытая секция</t>
  </si>
  <si>
    <t>*** при зонировании установка полки не предусмотрена</t>
  </si>
  <si>
    <t>* глубина для выкатных элементов Аристо не может быть меньше 480</t>
  </si>
  <si>
    <t>ST0019.VS045</t>
  </si>
  <si>
    <t>ST0019.VS050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</si>
</sst>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мм&quot;"/>
    <numFmt numFmtId="165" formatCode="#,##0&quot; м&quot;"/>
    <numFmt numFmtId="166" formatCode="#,##0&quot; шт.&quot;"/>
    <numFmt numFmtId="167" formatCode="#,##0&quot; комп.&quot;"/>
    <numFmt numFmtId="168" formatCode="0.00&quot; руб.&quot;"/>
    <numFmt numFmtId="169" formatCode="#,##0.00&quot; руб.&quot;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6" borderId="4" xfId="0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</cellXfs>
  <cellStyles count="1">
    <cellStyle name="Обычный" xfId="0" builtinId="0"/>
  </cellStyles>
  <dxfs count="9"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987378</xdr:colOff>
      <xdr:row>34</xdr:row>
      <xdr:rowOff>21771</xdr:rowOff>
    </xdr:from>
    <xdr:to>
      <xdr:col>6</xdr:col>
      <xdr:colOff>900238</xdr:colOff>
      <xdr:row>57</xdr:row>
      <xdr:rowOff>206828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89314CC-F78C-BE70-1709-F650A2714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9864" y="8001000"/>
          <a:ext cx="1915831" cy="54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457197</xdr:colOff>
      <xdr:row>34</xdr:row>
      <xdr:rowOff>93637</xdr:rowOff>
    </xdr:from>
    <xdr:to>
      <xdr:col>1</xdr:col>
      <xdr:colOff>2318657</xdr:colOff>
      <xdr:row>57</xdr:row>
      <xdr:rowOff>195942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B2AAF3C-77A0-207E-8BBA-E2A1DA051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4026" y="8530066"/>
          <a:ext cx="1861460" cy="5360105"/>
        </a:xfrm>
        <a:prstGeom prst="rect">
          <a:avLst/>
        </a:prstGeom>
      </xdr:spPr>
    </xdr:pic>
    <xdr:clientData/>
  </xdr:twoCellAnchor>
  <xdr:twoCellAnchor editAs="oneCell">
    <xdr:from>
      <xdr:col>2</xdr:col>
      <xdr:colOff>185058</xdr:colOff>
      <xdr:row>33</xdr:row>
      <xdr:rowOff>0</xdr:rowOff>
    </xdr:from>
    <xdr:to>
      <xdr:col>4</xdr:col>
      <xdr:colOff>64616</xdr:colOff>
      <xdr:row>57</xdr:row>
      <xdr:rowOff>190953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434EEB9-9811-511A-3AB1-AD558E5EF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4572" y="8207829"/>
          <a:ext cx="1882530" cy="5677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B1:T59"/>
  <sheetViews>
    <sheetView tabSelected="1" zoomScale="70" zoomScaleNormal="70" workbookViewId="0">
      <selection activeCell="F7" sqref="F7:G7"/>
    </sheetView>
  </sheetViews>
  <sheetFormatPr defaultColWidth="9.109375" defaultRowHeight="18" x14ac:dyDescent="0.35"/>
  <cols>
    <col min="1" max="1" width="3" style="4" customWidth="1"/>
    <col min="2" max="2" width="43.44140625" style="4" customWidth="1"/>
    <col min="3" max="6" width="14.6640625" style="3" customWidth="1"/>
    <col min="7" max="7" width="16.44140625" style="3" customWidth="1"/>
    <col min="8" max="8" width="2.6640625" style="4" customWidth="1"/>
    <col min="9" max="9" width="57.33203125" style="4" customWidth="1"/>
    <col min="10" max="10" width="29.33203125" style="4" customWidth="1"/>
    <col min="11" max="11" width="16.6640625" style="4" customWidth="1"/>
    <col min="12" max="13" width="19.5546875" style="4" customWidth="1"/>
    <col min="14" max="16" width="21" style="4" hidden="1" customWidth="1"/>
    <col min="17" max="17" width="9.109375" style="4" customWidth="1"/>
    <col min="18" max="18" width="14.77734375" style="4" customWidth="1"/>
    <col min="19" max="19" width="9.109375" style="4" customWidth="1"/>
    <col min="20" max="16384" width="9.109375" style="4"/>
  </cols>
  <sheetData>
    <row r="1" spans="2:20" x14ac:dyDescent="0.35">
      <c r="B1" s="2"/>
    </row>
    <row r="2" spans="2:20" s="5" customFormat="1" ht="27.6" customHeight="1" x14ac:dyDescent="0.3">
      <c r="B2" s="62" t="s">
        <v>138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2:20" s="5" customFormat="1" ht="26.1" customHeight="1" x14ac:dyDescent="0.3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2:20" s="5" customFormat="1" ht="20.100000000000001" customHeight="1" x14ac:dyDescent="0.35">
      <c r="B4" s="6"/>
      <c r="C4" s="6"/>
      <c r="D4" s="6"/>
      <c r="E4" s="6"/>
      <c r="F4" s="6"/>
      <c r="G4" s="6"/>
      <c r="I4" s="4"/>
      <c r="J4" s="4"/>
      <c r="K4" s="4"/>
      <c r="L4" s="4"/>
    </row>
    <row r="5" spans="2:20" s="5" customFormat="1" ht="20.100000000000001" customHeight="1" x14ac:dyDescent="0.3">
      <c r="B5" s="63" t="s">
        <v>4</v>
      </c>
      <c r="C5" s="63"/>
      <c r="D5" s="63"/>
      <c r="E5" s="63"/>
      <c r="F5" s="63"/>
      <c r="G5" s="63"/>
      <c r="I5" s="63" t="s">
        <v>3</v>
      </c>
      <c r="J5" s="63"/>
      <c r="K5" s="63"/>
      <c r="L5" s="63"/>
      <c r="M5" s="63"/>
    </row>
    <row r="6" spans="2:20" s="5" customFormat="1" ht="20.100000000000001" customHeight="1" x14ac:dyDescent="0.3">
      <c r="B6" s="7"/>
      <c r="C6" s="7"/>
      <c r="D6" s="7"/>
      <c r="E6" s="7"/>
      <c r="F6" s="7"/>
      <c r="G6" s="7"/>
      <c r="I6" s="7"/>
      <c r="J6" s="7"/>
      <c r="K6" s="7"/>
      <c r="L6" s="7"/>
    </row>
    <row r="7" spans="2:20" s="5" customFormat="1" ht="20.100000000000001" customHeight="1" x14ac:dyDescent="0.3">
      <c r="B7" s="56" t="s">
        <v>13</v>
      </c>
      <c r="C7" s="57"/>
      <c r="D7" s="57"/>
      <c r="E7" s="58"/>
      <c r="F7" s="54">
        <v>2600</v>
      </c>
      <c r="G7" s="54"/>
      <c r="I7" s="16" t="s">
        <v>109</v>
      </c>
      <c r="J7" s="17" t="s">
        <v>5</v>
      </c>
      <c r="K7" s="18" t="s">
        <v>0</v>
      </c>
      <c r="L7" s="19" t="s">
        <v>8</v>
      </c>
      <c r="M7" s="18" t="s">
        <v>7</v>
      </c>
      <c r="P7" s="5">
        <v>400</v>
      </c>
    </row>
    <row r="8" spans="2:20" s="5" customFormat="1" ht="21.6" customHeight="1" x14ac:dyDescent="0.3">
      <c r="B8" s="56" t="s">
        <v>14</v>
      </c>
      <c r="C8" s="57"/>
      <c r="D8" s="57"/>
      <c r="E8" s="58"/>
      <c r="F8" s="54">
        <v>2000</v>
      </c>
      <c r="G8" s="54"/>
      <c r="I8" s="20" t="s">
        <v>6</v>
      </c>
      <c r="J8" s="14" t="s">
        <v>113</v>
      </c>
      <c r="K8" s="1">
        <f xml:space="preserve"> IF(OR(F12=P46,F12=P48),F7-100,F13-50)</f>
        <v>2500</v>
      </c>
      <c r="L8" s="25">
        <f>IF(F12=P48,(F14+1)*2,F14+1)</f>
        <v>4</v>
      </c>
      <c r="M8" s="64">
        <f>ROUNDUP(IF(K8&lt;2650,0.5*L8,L8)+(K9*L9+5*SUM(L8:L9))/5300,0)</f>
        <v>3</v>
      </c>
      <c r="N8" s="12"/>
      <c r="O8" s="12"/>
      <c r="P8" s="12">
        <v>450</v>
      </c>
      <c r="Q8" s="12"/>
      <c r="R8" s="12"/>
      <c r="S8" s="12"/>
      <c r="T8" s="12"/>
    </row>
    <row r="9" spans="2:20" s="5" customFormat="1" ht="20.100000000000001" customHeight="1" x14ac:dyDescent="0.3">
      <c r="B9" s="56" t="s">
        <v>149</v>
      </c>
      <c r="C9" s="57"/>
      <c r="D9" s="57"/>
      <c r="E9" s="58"/>
      <c r="F9" s="54">
        <v>480</v>
      </c>
      <c r="G9" s="54"/>
      <c r="I9" s="20" t="s">
        <v>6</v>
      </c>
      <c r="J9" s="14" t="s">
        <v>113</v>
      </c>
      <c r="K9" s="1">
        <f>IF(OR(F12=P46,F12=P47),F9/2-28,0)</f>
        <v>212</v>
      </c>
      <c r="L9" s="25">
        <f>IF(K9&lt;&gt;0,IF(F12=P46,L8,IF(F12=P47,ROUNDUP(F13/1000,0)*L8,0)),0)</f>
        <v>12</v>
      </c>
      <c r="M9" s="64"/>
      <c r="N9" s="12"/>
      <c r="P9" s="5">
        <v>500</v>
      </c>
    </row>
    <row r="10" spans="2:20" s="5" customFormat="1" ht="20.100000000000001" customHeight="1" x14ac:dyDescent="0.3">
      <c r="B10" s="56" t="s">
        <v>116</v>
      </c>
      <c r="C10" s="57"/>
      <c r="D10" s="57"/>
      <c r="E10" s="58"/>
      <c r="F10" s="54">
        <v>450</v>
      </c>
      <c r="G10" s="54"/>
      <c r="I10" s="20" t="s">
        <v>23</v>
      </c>
      <c r="J10" s="14" t="s">
        <v>114</v>
      </c>
      <c r="K10" s="1">
        <f>IF(C24&lt;&gt;0,C22-4,0)</f>
        <v>0</v>
      </c>
      <c r="L10" s="25">
        <f>C24</f>
        <v>0</v>
      </c>
      <c r="M10" s="51">
        <f>ROUNDUP((K10*L10+K11*L11+K12*L12+K13*L13+K14*L14+5*SUM(L10:L14))/5300,0)</f>
        <v>0</v>
      </c>
      <c r="N10" s="12"/>
    </row>
    <row r="11" spans="2:20" s="5" customFormat="1" ht="20.100000000000001" customHeight="1" x14ac:dyDescent="0.3">
      <c r="B11" s="56" t="s">
        <v>112</v>
      </c>
      <c r="C11" s="57"/>
      <c r="D11" s="57"/>
      <c r="E11" s="58"/>
      <c r="F11" s="53" t="s">
        <v>41</v>
      </c>
      <c r="G11" s="53"/>
      <c r="I11" s="20" t="s">
        <v>24</v>
      </c>
      <c r="J11" s="14" t="s">
        <v>114</v>
      </c>
      <c r="K11" s="1">
        <f>IF(AND($F$14&gt;1,D24&lt;&gt;0),D22-4,0)</f>
        <v>0</v>
      </c>
      <c r="L11" s="25">
        <f>IF(F14&gt;1,D24,0)</f>
        <v>0</v>
      </c>
      <c r="M11" s="51"/>
      <c r="N11" s="12"/>
    </row>
    <row r="12" spans="2:20" s="5" customFormat="1" ht="20.100000000000001" customHeight="1" x14ac:dyDescent="0.3">
      <c r="B12" s="56" t="s">
        <v>9</v>
      </c>
      <c r="C12" s="57"/>
      <c r="D12" s="57"/>
      <c r="E12" s="58"/>
      <c r="F12" s="65" t="s">
        <v>11</v>
      </c>
      <c r="G12" s="65"/>
      <c r="I12" s="20" t="s">
        <v>25</v>
      </c>
      <c r="J12" s="14" t="s">
        <v>114</v>
      </c>
      <c r="K12" s="1">
        <f>IF(AND($F$14&gt;2,E24&lt;&gt;0),E22-4,0)</f>
        <v>0</v>
      </c>
      <c r="L12" s="25">
        <f>IF(F14&gt;2,E24,0)</f>
        <v>0</v>
      </c>
      <c r="M12" s="51"/>
      <c r="N12" s="12"/>
    </row>
    <row r="13" spans="2:20" s="5" customFormat="1" ht="20.100000000000001" customHeight="1" x14ac:dyDescent="0.3">
      <c r="B13" s="56" t="s">
        <v>37</v>
      </c>
      <c r="C13" s="57"/>
      <c r="D13" s="57"/>
      <c r="E13" s="58"/>
      <c r="F13" s="54">
        <v>2550</v>
      </c>
      <c r="G13" s="54"/>
      <c r="I13" s="20" t="s">
        <v>26</v>
      </c>
      <c r="J13" s="14" t="s">
        <v>114</v>
      </c>
      <c r="K13" s="1">
        <f>IF(AND($F$14&gt;3,F24&lt;&gt;0),F22-4,0)</f>
        <v>0</v>
      </c>
      <c r="L13" s="25">
        <f>IF(F14&gt;3,F24,0)</f>
        <v>0</v>
      </c>
      <c r="M13" s="51"/>
      <c r="N13" s="12"/>
    </row>
    <row r="14" spans="2:20" s="5" customFormat="1" ht="20.100000000000001" customHeight="1" x14ac:dyDescent="0.3">
      <c r="B14" s="59" t="s">
        <v>12</v>
      </c>
      <c r="C14" s="60"/>
      <c r="D14" s="60"/>
      <c r="E14" s="61"/>
      <c r="F14" s="55">
        <v>3</v>
      </c>
      <c r="G14" s="55"/>
      <c r="I14" s="20" t="s">
        <v>27</v>
      </c>
      <c r="J14" s="14" t="s">
        <v>114</v>
      </c>
      <c r="K14" s="1">
        <f>IF(AND($F$14&gt;4,G24&lt;&gt;0),G22-4,0)</f>
        <v>0</v>
      </c>
      <c r="L14" s="25">
        <f>IF(F14&gt;4,G24,0)</f>
        <v>0</v>
      </c>
      <c r="M14" s="51"/>
      <c r="N14" s="12"/>
    </row>
    <row r="15" spans="2:20" s="5" customFormat="1" ht="20.100000000000001" customHeight="1" x14ac:dyDescent="0.3">
      <c r="B15" s="56" t="s">
        <v>36</v>
      </c>
      <c r="C15" s="57"/>
      <c r="D15" s="57"/>
      <c r="E15" s="58"/>
      <c r="F15" s="52">
        <v>8</v>
      </c>
      <c r="G15" s="52"/>
      <c r="I15" s="9" t="s">
        <v>143</v>
      </c>
      <c r="J15" s="14" t="s">
        <v>148</v>
      </c>
      <c r="K15" s="1">
        <f>IF(C23&lt;&gt;0,476,0)</f>
        <v>0</v>
      </c>
      <c r="L15" s="25">
        <f>C23*2</f>
        <v>0</v>
      </c>
      <c r="M15" s="51">
        <f>ROUNDUP((K15*L15+K16*L16+K17*L17+K18*L18+K19*L19+5*SUM(L15:L19))/5300,0)</f>
        <v>0</v>
      </c>
      <c r="N15" s="12"/>
    </row>
    <row r="16" spans="2:20" s="5" customFormat="1" ht="20.100000000000001" customHeight="1" x14ac:dyDescent="0.3">
      <c r="B16" s="56" t="s">
        <v>150</v>
      </c>
      <c r="C16" s="57"/>
      <c r="D16" s="57"/>
      <c r="E16" s="58"/>
      <c r="F16" s="52">
        <v>0</v>
      </c>
      <c r="G16" s="52"/>
      <c r="I16" s="9" t="s">
        <v>144</v>
      </c>
      <c r="J16" s="14" t="s">
        <v>148</v>
      </c>
      <c r="K16" s="1">
        <f>IF(AND($F$14&gt;1,D23&lt;&gt;0),476,0)</f>
        <v>0</v>
      </c>
      <c r="L16" s="25">
        <f>IF(F14&gt;1,D23*2,0)</f>
        <v>0</v>
      </c>
      <c r="M16" s="51"/>
      <c r="N16" s="12"/>
    </row>
    <row r="17" spans="2:14" s="5" customFormat="1" ht="20.100000000000001" customHeight="1" x14ac:dyDescent="0.3">
      <c r="I17" s="9" t="s">
        <v>145</v>
      </c>
      <c r="J17" s="14" t="s">
        <v>148</v>
      </c>
      <c r="K17" s="1">
        <f>IF(AND($F$14&gt;2,E23&lt;&gt;0),476,0)</f>
        <v>0</v>
      </c>
      <c r="L17" s="25">
        <f>IF(F14&gt;2,E23*2,0)</f>
        <v>0</v>
      </c>
      <c r="M17" s="51"/>
      <c r="N17" s="12"/>
    </row>
    <row r="18" spans="2:14" s="5" customFormat="1" ht="20.100000000000001" customHeight="1" thickBot="1" x14ac:dyDescent="0.35">
      <c r="I18" s="9" t="s">
        <v>146</v>
      </c>
      <c r="J18" s="14" t="s">
        <v>148</v>
      </c>
      <c r="K18" s="1">
        <f>IF(AND($F$14&gt;3,F23&lt;&gt;0),76,0)</f>
        <v>0</v>
      </c>
      <c r="L18" s="25">
        <f>IF(F14&gt;3,F23*2,0)</f>
        <v>0</v>
      </c>
      <c r="M18" s="51"/>
      <c r="N18" s="12"/>
    </row>
    <row r="19" spans="2:14" s="5" customFormat="1" ht="20.100000000000001" customHeight="1" thickBot="1" x14ac:dyDescent="0.35">
      <c r="B19" s="15" t="s">
        <v>22</v>
      </c>
      <c r="C19" s="22">
        <f>F8-50</f>
        <v>1950</v>
      </c>
      <c r="I19" s="9" t="s">
        <v>147</v>
      </c>
      <c r="J19" s="14" t="s">
        <v>148</v>
      </c>
      <c r="K19" s="1">
        <f>IF(AND($F$14&gt;4,G23&lt;&gt;0),76,0)</f>
        <v>0</v>
      </c>
      <c r="L19" s="25">
        <f>IF(F14&gt;4,G23*2,0)</f>
        <v>0</v>
      </c>
      <c r="M19" s="51"/>
      <c r="N19" s="12"/>
    </row>
    <row r="20" spans="2:14" s="5" customFormat="1" ht="20.100000000000001" customHeight="1" x14ac:dyDescent="0.3">
      <c r="I20" s="9" t="s">
        <v>132</v>
      </c>
      <c r="J20" s="14" t="s">
        <v>115</v>
      </c>
      <c r="K20" s="1">
        <f>IF(C25&lt;&gt;0,C22-6,0)</f>
        <v>0</v>
      </c>
      <c r="L20" s="25">
        <f>C25*2</f>
        <v>0</v>
      </c>
      <c r="M20" s="51">
        <f>ROUNDUP((K20*L20+K21*L21+K22*L22+K23*L23+K24*L24+5*SUM(L20:L24))/5300,0)</f>
        <v>0</v>
      </c>
      <c r="N20" s="12"/>
    </row>
    <row r="21" spans="2:14" s="5" customFormat="1" ht="20.100000000000001" customHeight="1" x14ac:dyDescent="0.3">
      <c r="C21" s="14" t="s">
        <v>15</v>
      </c>
      <c r="D21" s="14" t="s">
        <v>18</v>
      </c>
      <c r="E21" s="14" t="s">
        <v>19</v>
      </c>
      <c r="F21" s="14" t="s">
        <v>20</v>
      </c>
      <c r="G21" s="14" t="s">
        <v>21</v>
      </c>
      <c r="I21" s="9" t="s">
        <v>133</v>
      </c>
      <c r="J21" s="14" t="s">
        <v>115</v>
      </c>
      <c r="K21" s="1">
        <f>IF(AND($F$14&gt;1,D25&lt;&gt;0),D22-6,0)</f>
        <v>0</v>
      </c>
      <c r="L21" s="25">
        <f>IF(F14&gt;1,D25*2,0)</f>
        <v>0</v>
      </c>
      <c r="M21" s="51"/>
      <c r="N21" s="12"/>
    </row>
    <row r="22" spans="2:14" s="5" customFormat="1" ht="20.100000000000001" customHeight="1" x14ac:dyDescent="0.3">
      <c r="B22" s="15" t="s">
        <v>17</v>
      </c>
      <c r="C22" s="1">
        <f>IF(F14=1,C19-64,IF(F14=2,C19-96-D22,IF(F14=3,C19-128-SUM(D22:E22),IF(F14=4,C19-160-SUM(D22:F22),C19-192-SUM(D22:G22)))))</f>
        <v>602</v>
      </c>
      <c r="D22" s="11">
        <v>610</v>
      </c>
      <c r="E22" s="11">
        <v>610</v>
      </c>
      <c r="F22" s="11">
        <v>770</v>
      </c>
      <c r="G22" s="11">
        <v>750</v>
      </c>
      <c r="I22" s="9" t="s">
        <v>134</v>
      </c>
      <c r="J22" s="14" t="s">
        <v>115</v>
      </c>
      <c r="K22" s="1">
        <f>IF(AND($F$14&gt;2,E25&lt;&gt;0),E22-6,0)</f>
        <v>0</v>
      </c>
      <c r="L22" s="25">
        <f>IF(F14&gt;2,E25*2,0)</f>
        <v>0</v>
      </c>
      <c r="M22" s="51"/>
      <c r="N22" s="12"/>
    </row>
    <row r="23" spans="2:14" x14ac:dyDescent="0.35">
      <c r="B23" s="15" t="s">
        <v>140</v>
      </c>
      <c r="C23" s="13">
        <v>0</v>
      </c>
      <c r="D23" s="13">
        <v>0</v>
      </c>
      <c r="E23" s="13">
        <v>0</v>
      </c>
      <c r="F23" s="13">
        <v>2</v>
      </c>
      <c r="G23" s="13">
        <v>2</v>
      </c>
      <c r="H23" s="5"/>
      <c r="I23" s="9" t="s">
        <v>135</v>
      </c>
      <c r="J23" s="14" t="s">
        <v>115</v>
      </c>
      <c r="K23" s="1">
        <f>IF(AND($F$14&gt;3,F25&lt;&gt;0),F22-6,0)</f>
        <v>0</v>
      </c>
      <c r="L23" s="25">
        <f>IF(F14&gt;3,F25*2,0)</f>
        <v>0</v>
      </c>
      <c r="M23" s="51"/>
      <c r="N23" s="12"/>
    </row>
    <row r="24" spans="2:14" x14ac:dyDescent="0.35">
      <c r="B24" s="15" t="s">
        <v>16</v>
      </c>
      <c r="C24" s="13">
        <v>0</v>
      </c>
      <c r="D24" s="13">
        <v>0</v>
      </c>
      <c r="E24" s="13">
        <v>0</v>
      </c>
      <c r="F24" s="13">
        <v>1</v>
      </c>
      <c r="G24" s="13">
        <v>1</v>
      </c>
      <c r="H24" s="5"/>
      <c r="I24" s="9" t="s">
        <v>136</v>
      </c>
      <c r="J24" s="14" t="s">
        <v>115</v>
      </c>
      <c r="K24" s="1">
        <f>IF(AND($F$14&gt;4,G25&lt;&gt;0),G22+-6,0)</f>
        <v>0</v>
      </c>
      <c r="L24" s="25">
        <f>IF(F14&gt;4,G25*2,0)</f>
        <v>0</v>
      </c>
      <c r="M24" s="51"/>
      <c r="N24" s="12"/>
    </row>
    <row r="25" spans="2:14" x14ac:dyDescent="0.35">
      <c r="B25" s="15" t="s">
        <v>151</v>
      </c>
      <c r="C25" s="13">
        <v>0</v>
      </c>
      <c r="D25" s="13">
        <v>0</v>
      </c>
      <c r="E25" s="13">
        <v>0</v>
      </c>
      <c r="F25" s="13">
        <v>1</v>
      </c>
      <c r="G25" s="13">
        <v>1</v>
      </c>
      <c r="H25" s="5"/>
      <c r="N25" s="12"/>
    </row>
    <row r="26" spans="2:14" x14ac:dyDescent="0.35">
      <c r="N26" s="12"/>
    </row>
    <row r="27" spans="2:14" x14ac:dyDescent="0.35">
      <c r="B27" s="4" t="s">
        <v>154</v>
      </c>
      <c r="N27" s="12"/>
    </row>
    <row r="28" spans="2:14" x14ac:dyDescent="0.35">
      <c r="B28" s="4" t="s">
        <v>152</v>
      </c>
      <c r="I28" s="21" t="s">
        <v>2</v>
      </c>
      <c r="J28" s="17" t="s">
        <v>5</v>
      </c>
      <c r="K28" s="45" t="s">
        <v>1</v>
      </c>
      <c r="N28" s="12"/>
    </row>
    <row r="29" spans="2:14" x14ac:dyDescent="0.35">
      <c r="B29" s="4" t="s">
        <v>153</v>
      </c>
      <c r="I29" s="10" t="s">
        <v>30</v>
      </c>
      <c r="J29" s="14" t="s">
        <v>117</v>
      </c>
      <c r="K29" s="26">
        <f>IF(F12=P48,(F15*2+F16*2)*2,F15*2+F16*2)</f>
        <v>16</v>
      </c>
      <c r="N29" s="12"/>
    </row>
    <row r="30" spans="2:14" ht="18.600000000000001" thickBot="1" x14ac:dyDescent="0.4">
      <c r="I30" s="10" t="s">
        <v>28</v>
      </c>
      <c r="J30" s="14" t="s">
        <v>118</v>
      </c>
      <c r="K30" s="24">
        <f>IF(F12=P47,L8,L8*2)</f>
        <v>4</v>
      </c>
      <c r="N30" s="12"/>
    </row>
    <row r="31" spans="2:14" x14ac:dyDescent="0.35">
      <c r="B31" s="28"/>
      <c r="C31" s="29"/>
      <c r="D31" s="29"/>
      <c r="E31" s="29"/>
      <c r="F31" s="29"/>
      <c r="G31" s="30"/>
      <c r="I31" s="10" t="s">
        <v>120</v>
      </c>
      <c r="J31" s="14" t="s">
        <v>121</v>
      </c>
      <c r="K31" s="26">
        <f>IF(F14&lt;2,SUM(C25:C25)*2,IF(F14&lt;3,SUM(C25:D25)*2,IF(F14&lt;4,SUM(C25:E25)*2,IF(F14&lt;5,SUM(C25:F25)*2,SUM(C25:G25)*2))))</f>
        <v>0</v>
      </c>
      <c r="N31" s="12"/>
    </row>
    <row r="32" spans="2:14" x14ac:dyDescent="0.35">
      <c r="B32" s="31" t="s">
        <v>38</v>
      </c>
      <c r="C32" s="49" t="s">
        <v>39</v>
      </c>
      <c r="D32" s="49"/>
      <c r="F32" s="49" t="s">
        <v>139</v>
      </c>
      <c r="G32" s="50"/>
      <c r="I32" s="10" t="s">
        <v>119</v>
      </c>
      <c r="J32" s="14" t="s">
        <v>123</v>
      </c>
      <c r="K32" s="26">
        <f>IF(F14&lt;2,SUM(C24:C24)*2,IF(F14&lt;3,SUM(C24:D24)*2,IF(F14&lt;4,SUM(C24:E24)*2,IF(F14&lt;5,SUM(C24:F24)*2,SUM(C24:G24)*2))))</f>
        <v>0</v>
      </c>
      <c r="N32" s="12"/>
    </row>
    <row r="33" spans="2:16" x14ac:dyDescent="0.35">
      <c r="B33" s="32"/>
      <c r="G33" s="33"/>
      <c r="I33" s="10" t="s">
        <v>31</v>
      </c>
      <c r="J33" s="14" t="s">
        <v>122</v>
      </c>
      <c r="K33" s="23">
        <f>SUM(L10:L14)</f>
        <v>0</v>
      </c>
      <c r="N33" s="12"/>
    </row>
    <row r="34" spans="2:16" x14ac:dyDescent="0.35">
      <c r="B34" s="32"/>
      <c r="G34" s="33"/>
      <c r="I34" s="10" t="s">
        <v>141</v>
      </c>
      <c r="J34" s="14" t="s">
        <v>142</v>
      </c>
      <c r="K34" s="48">
        <f>(IF(F14&lt;2,SUM(C23:C23),IF(F14&lt;3,SUM(C23:D23),IF(F14&lt;4,SUM(C23:E23),IF(F14&lt;5,SUM(C23:F23),SUM(C23:G23))))))*2</f>
        <v>0</v>
      </c>
      <c r="N34" s="12"/>
    </row>
    <row r="35" spans="2:16" x14ac:dyDescent="0.35">
      <c r="B35" s="32"/>
      <c r="G35" s="33"/>
      <c r="I35" s="10" t="s">
        <v>124</v>
      </c>
      <c r="J35" s="14" t="s">
        <v>125</v>
      </c>
      <c r="K35" s="26">
        <f>ROUNDUP((K8*L8*2+K9*L9*2)/2700,0)</f>
        <v>10</v>
      </c>
      <c r="N35" s="12"/>
    </row>
    <row r="36" spans="2:16" x14ac:dyDescent="0.35">
      <c r="B36" s="32"/>
      <c r="G36" s="33"/>
      <c r="I36" s="10" t="s">
        <v>29</v>
      </c>
      <c r="J36" s="14" t="s">
        <v>126</v>
      </c>
      <c r="K36" s="26">
        <f>L9</f>
        <v>12</v>
      </c>
      <c r="N36" s="12"/>
    </row>
    <row r="37" spans="2:16" x14ac:dyDescent="0.35">
      <c r="B37" s="32"/>
      <c r="G37" s="33"/>
      <c r="I37" s="10" t="s">
        <v>32</v>
      </c>
      <c r="J37" s="14" t="s">
        <v>127</v>
      </c>
      <c r="K37" s="24">
        <f>L9</f>
        <v>12</v>
      </c>
      <c r="N37" s="12"/>
    </row>
    <row r="38" spans="2:16" x14ac:dyDescent="0.35">
      <c r="B38" s="32"/>
      <c r="G38" s="33"/>
      <c r="I38" s="10" t="s">
        <v>33</v>
      </c>
      <c r="J38" s="14" t="s">
        <v>128</v>
      </c>
      <c r="K38" s="24">
        <f>IF(F12=P47,L8,0)</f>
        <v>4</v>
      </c>
      <c r="N38" s="12"/>
    </row>
    <row r="39" spans="2:16" x14ac:dyDescent="0.35">
      <c r="B39" s="32"/>
      <c r="G39" s="33"/>
      <c r="I39" s="10" t="s">
        <v>130</v>
      </c>
      <c r="J39" s="8" t="s">
        <v>131</v>
      </c>
      <c r="K39" s="24">
        <f>ROUNDUP((M20*5400+K41*P8*2+K42*P9*2)/2700,0)</f>
        <v>0</v>
      </c>
      <c r="N39" s="12"/>
    </row>
    <row r="40" spans="2:16" x14ac:dyDescent="0.35">
      <c r="B40" s="32"/>
      <c r="G40" s="33"/>
      <c r="I40" s="10" t="s">
        <v>34</v>
      </c>
      <c r="J40" s="8" t="s">
        <v>129</v>
      </c>
      <c r="K40" s="27">
        <f>ROUNDUP((K10*L10+K11*L11+K12*L12+K13*L13+K14*L14)/1000*1.1,0)</f>
        <v>0</v>
      </c>
      <c r="N40" s="12"/>
    </row>
    <row r="41" spans="2:16" x14ac:dyDescent="0.35">
      <c r="B41" s="32"/>
      <c r="G41" s="33"/>
      <c r="I41" s="10" t="s">
        <v>137</v>
      </c>
      <c r="J41" s="14" t="s">
        <v>155</v>
      </c>
      <c r="K41" s="23">
        <f>IF(F10=P8,IF(F14&lt;2,SUM(C25:C25),IF(F14&lt;3,SUM(C25:D25),IF(F14&lt;4,SUM(C25:E25),IF(F14&lt;5,SUM(C25:F25),SUM(C25:G25))))),0)</f>
        <v>0</v>
      </c>
      <c r="N41" s="12"/>
    </row>
    <row r="42" spans="2:16" x14ac:dyDescent="0.35">
      <c r="B42" s="32"/>
      <c r="G42" s="33"/>
      <c r="I42" s="10" t="s">
        <v>137</v>
      </c>
      <c r="J42" s="14" t="s">
        <v>156</v>
      </c>
      <c r="K42" s="23">
        <f>IF(F10=P9,IF(F14&lt;2,SUM(C25:C25),IF(F14&lt;3,SUM(C25:D25),IF(F14&lt;4,SUM(C25:E25),IF(F14&lt;5,SUM(C25:F25),SUM(C25:G25))))),0)</f>
        <v>0</v>
      </c>
    </row>
    <row r="43" spans="2:16" x14ac:dyDescent="0.35">
      <c r="B43" s="32"/>
      <c r="G43" s="33"/>
    </row>
    <row r="44" spans="2:16" x14ac:dyDescent="0.35">
      <c r="B44" s="32"/>
      <c r="G44" s="33"/>
    </row>
    <row r="45" spans="2:16" x14ac:dyDescent="0.35">
      <c r="B45" s="32"/>
      <c r="G45" s="33"/>
    </row>
    <row r="46" spans="2:16" x14ac:dyDescent="0.35">
      <c r="B46" s="32"/>
      <c r="G46" s="33"/>
      <c r="O46" s="5"/>
      <c r="P46" s="5" t="s">
        <v>10</v>
      </c>
    </row>
    <row r="47" spans="2:16" x14ac:dyDescent="0.35">
      <c r="B47" s="32"/>
      <c r="G47" s="33"/>
      <c r="O47" s="5"/>
      <c r="P47" s="5" t="s">
        <v>11</v>
      </c>
    </row>
    <row r="48" spans="2:16" x14ac:dyDescent="0.35">
      <c r="B48" s="32"/>
      <c r="G48" s="33"/>
      <c r="O48" s="5"/>
      <c r="P48" s="5" t="s">
        <v>35</v>
      </c>
    </row>
    <row r="49" spans="2:16" x14ac:dyDescent="0.35">
      <c r="B49" s="32"/>
      <c r="G49" s="33"/>
    </row>
    <row r="50" spans="2:16" x14ac:dyDescent="0.35">
      <c r="B50" s="32"/>
      <c r="G50" s="33"/>
    </row>
    <row r="51" spans="2:16" x14ac:dyDescent="0.35">
      <c r="B51" s="32"/>
      <c r="G51" s="33"/>
      <c r="P51" s="4" t="s">
        <v>40</v>
      </c>
    </row>
    <row r="52" spans="2:16" x14ac:dyDescent="0.35">
      <c r="B52" s="32"/>
      <c r="G52" s="33"/>
      <c r="P52" s="4" t="s">
        <v>41</v>
      </c>
    </row>
    <row r="53" spans="2:16" x14ac:dyDescent="0.35">
      <c r="B53" s="32"/>
      <c r="G53" s="33"/>
    </row>
    <row r="54" spans="2:16" x14ac:dyDescent="0.35">
      <c r="B54" s="32"/>
      <c r="G54" s="33"/>
    </row>
    <row r="55" spans="2:16" x14ac:dyDescent="0.35">
      <c r="B55" s="32"/>
      <c r="G55" s="33"/>
    </row>
    <row r="56" spans="2:16" x14ac:dyDescent="0.35">
      <c r="B56" s="32"/>
      <c r="G56" s="33"/>
    </row>
    <row r="57" spans="2:16" x14ac:dyDescent="0.35">
      <c r="B57" s="32"/>
      <c r="G57" s="33"/>
    </row>
    <row r="58" spans="2:16" x14ac:dyDescent="0.35">
      <c r="B58" s="32"/>
      <c r="G58" s="33"/>
    </row>
    <row r="59" spans="2:16" ht="18.600000000000001" thickBot="1" x14ac:dyDescent="0.4">
      <c r="B59" s="34"/>
      <c r="C59" s="35"/>
      <c r="D59" s="35"/>
      <c r="E59" s="35"/>
      <c r="F59" s="35"/>
      <c r="G59" s="36"/>
    </row>
  </sheetData>
  <sheetProtection algorithmName="SHA-512" hashValue="TTUJnNZHBq0LlU4uOjeMewvZAXUVeaXsLA3YZLdAgLHiVLeOUGeUJVHf+umkjimrcGjtdDceaJKoGu3hi1aZeA==" saltValue="bB10GlK+fUuLgzt6rtp6cQ==" spinCount="100000" sheet="1" selectLockedCells="1"/>
  <mergeCells count="29">
    <mergeCell ref="B2:M3"/>
    <mergeCell ref="I5:M5"/>
    <mergeCell ref="M8:M9"/>
    <mergeCell ref="F12:G12"/>
    <mergeCell ref="F13:G13"/>
    <mergeCell ref="F7:G7"/>
    <mergeCell ref="F8:G8"/>
    <mergeCell ref="B5:G5"/>
    <mergeCell ref="B9:E9"/>
    <mergeCell ref="F9:G9"/>
    <mergeCell ref="B7:E7"/>
    <mergeCell ref="B8:E8"/>
    <mergeCell ref="C32:D32"/>
    <mergeCell ref="B15:E15"/>
    <mergeCell ref="B16:E16"/>
    <mergeCell ref="B11:E11"/>
    <mergeCell ref="B10:E10"/>
    <mergeCell ref="B12:E12"/>
    <mergeCell ref="B13:E13"/>
    <mergeCell ref="B14:E14"/>
    <mergeCell ref="F32:G32"/>
    <mergeCell ref="M10:M14"/>
    <mergeCell ref="M15:M19"/>
    <mergeCell ref="F15:G15"/>
    <mergeCell ref="F16:G16"/>
    <mergeCell ref="F11:G11"/>
    <mergeCell ref="M20:M24"/>
    <mergeCell ref="F10:G10"/>
    <mergeCell ref="F14:G14"/>
  </mergeCells>
  <phoneticPr fontId="10" type="noConversion"/>
  <conditionalFormatting sqref="B13:G13">
    <cfRule type="expression" dxfId="8" priority="17">
      <formula>OR($F$12=$P$46,$F$12=$P$48)</formula>
    </cfRule>
  </conditionalFormatting>
  <conditionalFormatting sqref="C22">
    <cfRule type="expression" dxfId="7" priority="7">
      <formula>$C$22&gt;1200</formula>
    </cfRule>
    <cfRule type="expression" dxfId="6" priority="8">
      <formula>$C$22&lt;200</formula>
    </cfRule>
  </conditionalFormatting>
  <conditionalFormatting sqref="D21:D25">
    <cfRule type="expression" dxfId="5" priority="3">
      <formula>$F$14&lt;2</formula>
    </cfRule>
  </conditionalFormatting>
  <conditionalFormatting sqref="E21:E25">
    <cfRule type="expression" dxfId="4" priority="4">
      <formula>$F$14&lt;3</formula>
    </cfRule>
  </conditionalFormatting>
  <conditionalFormatting sqref="F21:F25">
    <cfRule type="expression" dxfId="3" priority="5">
      <formula>$F$14&lt;4</formula>
    </cfRule>
  </conditionalFormatting>
  <conditionalFormatting sqref="F10:G10">
    <cfRule type="expression" dxfId="2" priority="2">
      <formula>$F$10&gt;$F$9</formula>
    </cfRule>
  </conditionalFormatting>
  <conditionalFormatting sqref="G21:G25">
    <cfRule type="expression" dxfId="1" priority="6">
      <formula>$F$14&lt;5</formula>
    </cfRule>
  </conditionalFormatting>
  <conditionalFormatting sqref="K15:K19">
    <cfRule type="expression" dxfId="0" priority="1">
      <formula>$F$9&lt;480</formula>
    </cfRule>
  </conditionalFormatting>
  <dataValidations count="9">
    <dataValidation type="whole" allowBlank="1" showInputMessage="1" showErrorMessage="1" errorTitle="Неправильное количество" error="Максимально 5 секций" sqref="F14:G14" xr:uid="{00000000-0002-0000-0000-000000000000}">
      <formula1>1</formula1>
      <formula2>5</formula2>
    </dataValidation>
    <dataValidation type="custom" allowBlank="1" showInputMessage="1" showErrorMessage="1" errorTitle="Неправильная высота" error="Введите значение на 50 мм меньше высоты проема" sqref="F13:G13" xr:uid="{00000000-0002-0000-0000-000001000000}">
      <formula1>(F13+50)&lt;=F7</formula1>
    </dataValidation>
    <dataValidation type="whole" allowBlank="1" showInputMessage="1" showErrorMessage="1" sqref="F9:G9" xr:uid="{00000000-0002-0000-0000-000002000000}">
      <formula1>170</formula1>
      <formula2>600</formula2>
    </dataValidation>
    <dataValidation type="whole" allowBlank="1" showInputMessage="1" showErrorMessage="1" errorTitle="Неправильное количество" error="Не более 4 шт" sqref="C24:G24" xr:uid="{00000000-0002-0000-0000-000003000000}">
      <formula1>0</formula1>
      <formula2>4</formula2>
    </dataValidation>
    <dataValidation type="whole" allowBlank="1" showInputMessage="1" showErrorMessage="1" errorTitle="Неправильное количество" error="Не более 10 шт" sqref="C23:G23" xr:uid="{00000000-0002-0000-0000-000004000000}">
      <formula1>0</formula1>
      <formula2>5</formula2>
    </dataValidation>
    <dataValidation type="list" allowBlank="1" showInputMessage="1" showErrorMessage="1" sqref="F12:G12" xr:uid="{00000000-0002-0000-0000-000005000000}">
      <formula1>$P$46:$P$48</formula1>
    </dataValidation>
    <dataValidation type="list" allowBlank="1" showInputMessage="1" showErrorMessage="1" sqref="F11:G11" xr:uid="{00000000-0002-0000-0000-000006000000}">
      <formula1>$P$52</formula1>
    </dataValidation>
    <dataValidation type="list" allowBlank="1" showInputMessage="1" showErrorMessage="1" sqref="F10:G10" xr:uid="{A7A95DE1-B08A-43C7-875D-8CAFD5841284}">
      <formula1>$P$8:$P$9</formula1>
    </dataValidation>
    <dataValidation type="whole" allowBlank="1" showInputMessage="1" showErrorMessage="1" errorTitle="Неправильное количество" error="Не более 4 шт" sqref="C25:G25" xr:uid="{21BDBB05-55E0-4C61-9E1D-0C570A9AE137}">
      <formula1>0</formula1>
      <formula2>10</formula2>
    </dataValidation>
  </dataValidations>
  <printOptions horizontalCentered="1"/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selection activeCell="E24" sqref="E24"/>
    </sheetView>
  </sheetViews>
  <sheetFormatPr defaultRowHeight="14.4" x14ac:dyDescent="0.3"/>
  <cols>
    <col min="1" max="1" width="56.21875" style="44" customWidth="1"/>
    <col min="2" max="2" width="22.6640625" style="37" customWidth="1"/>
    <col min="3" max="3" width="17.21875" style="37" customWidth="1"/>
    <col min="4" max="4" width="9.21875" style="37" customWidth="1"/>
    <col min="5" max="5" width="14.44140625" style="37" customWidth="1"/>
    <col min="6" max="6" width="18" customWidth="1"/>
    <col min="7" max="7" width="11" customWidth="1"/>
    <col min="8" max="8" width="12.6640625" customWidth="1"/>
    <col min="9" max="9" width="10" customWidth="1"/>
  </cols>
  <sheetData>
    <row r="1" spans="1:9" ht="15" thickBot="1" x14ac:dyDescent="0.35">
      <c r="A1" s="70" t="s">
        <v>50</v>
      </c>
      <c r="B1" s="71" t="s">
        <v>51</v>
      </c>
      <c r="C1" s="71" t="s">
        <v>52</v>
      </c>
      <c r="D1" s="71"/>
      <c r="E1" s="71" t="s">
        <v>53</v>
      </c>
      <c r="F1" s="69" t="s">
        <v>111</v>
      </c>
    </row>
    <row r="2" spans="1:9" ht="15" thickBot="1" x14ac:dyDescent="0.35">
      <c r="A2" s="70"/>
      <c r="B2" s="71"/>
      <c r="C2" s="38" t="s">
        <v>54</v>
      </c>
      <c r="D2" s="38" t="s">
        <v>55</v>
      </c>
      <c r="E2" s="71"/>
      <c r="F2" s="69"/>
      <c r="H2" t="s">
        <v>110</v>
      </c>
      <c r="I2" s="47">
        <v>2.75</v>
      </c>
    </row>
    <row r="3" spans="1:9" x14ac:dyDescent="0.3">
      <c r="A3" s="66" t="s">
        <v>58</v>
      </c>
      <c r="B3" s="67"/>
      <c r="C3" s="67"/>
      <c r="D3" s="67"/>
      <c r="E3" s="68"/>
      <c r="F3" s="46"/>
    </row>
    <row r="4" spans="1:9" x14ac:dyDescent="0.3">
      <c r="A4" s="43" t="s">
        <v>59</v>
      </c>
      <c r="B4" s="39" t="s">
        <v>42</v>
      </c>
      <c r="C4" s="40">
        <v>1391.69</v>
      </c>
      <c r="D4" s="39" t="s">
        <v>56</v>
      </c>
      <c r="E4" s="41">
        <f t="shared" ref="E4:E33" si="0">C4-(C4/100*40)</f>
        <v>835.01400000000001</v>
      </c>
      <c r="F4" s="46">
        <f>E4*$I$2</f>
        <v>2296.2885000000001</v>
      </c>
    </row>
    <row r="5" spans="1:9" x14ac:dyDescent="0.3">
      <c r="A5" s="43" t="s">
        <v>60</v>
      </c>
      <c r="B5" s="39" t="s">
        <v>43</v>
      </c>
      <c r="C5" s="40">
        <v>3629.22</v>
      </c>
      <c r="D5" s="39" t="s">
        <v>56</v>
      </c>
      <c r="E5" s="41">
        <f t="shared" si="0"/>
        <v>2177.5319999999997</v>
      </c>
      <c r="F5" s="46">
        <f t="shared" ref="F5:F33" si="1">E5*$I$2</f>
        <v>5988.2129999999988</v>
      </c>
    </row>
    <row r="6" spans="1:9" x14ac:dyDescent="0.3">
      <c r="A6" s="43" t="s">
        <v>61</v>
      </c>
      <c r="B6" s="39" t="s">
        <v>44</v>
      </c>
      <c r="C6" s="42">
        <v>927.77</v>
      </c>
      <c r="D6" s="39" t="s">
        <v>56</v>
      </c>
      <c r="E6" s="41">
        <f t="shared" si="0"/>
        <v>556.66200000000003</v>
      </c>
      <c r="F6" s="46">
        <f t="shared" si="1"/>
        <v>1530.8205</v>
      </c>
    </row>
    <row r="7" spans="1:9" x14ac:dyDescent="0.3">
      <c r="A7" s="43" t="s">
        <v>62</v>
      </c>
      <c r="B7" s="39" t="s">
        <v>45</v>
      </c>
      <c r="C7" s="40">
        <v>1446.24</v>
      </c>
      <c r="D7" s="39" t="s">
        <v>56</v>
      </c>
      <c r="E7" s="41">
        <f t="shared" si="0"/>
        <v>867.74400000000003</v>
      </c>
      <c r="F7" s="46">
        <f t="shared" si="1"/>
        <v>2386.2960000000003</v>
      </c>
    </row>
    <row r="8" spans="1:9" x14ac:dyDescent="0.3">
      <c r="A8" s="66" t="s">
        <v>63</v>
      </c>
      <c r="B8" s="67"/>
      <c r="C8" s="67"/>
      <c r="D8" s="67"/>
      <c r="E8" s="68"/>
      <c r="F8" s="46">
        <f t="shared" si="1"/>
        <v>0</v>
      </c>
    </row>
    <row r="9" spans="1:9" x14ac:dyDescent="0.3">
      <c r="A9" s="43" t="s">
        <v>64</v>
      </c>
      <c r="B9" s="39" t="s">
        <v>65</v>
      </c>
      <c r="C9" s="40">
        <v>1230.08</v>
      </c>
      <c r="D9" s="39" t="s">
        <v>56</v>
      </c>
      <c r="E9" s="41">
        <f t="shared" si="0"/>
        <v>738.048</v>
      </c>
      <c r="F9" s="46">
        <f t="shared" si="1"/>
        <v>2029.6320000000001</v>
      </c>
    </row>
    <row r="10" spans="1:9" x14ac:dyDescent="0.3">
      <c r="A10" s="43" t="s">
        <v>66</v>
      </c>
      <c r="B10" s="39" t="s">
        <v>67</v>
      </c>
      <c r="C10" s="42">
        <v>16.37</v>
      </c>
      <c r="D10" s="39" t="s">
        <v>56</v>
      </c>
      <c r="E10" s="41">
        <f t="shared" si="0"/>
        <v>9.822000000000001</v>
      </c>
      <c r="F10" s="46">
        <f t="shared" si="1"/>
        <v>27.010500000000004</v>
      </c>
    </row>
    <row r="11" spans="1:9" x14ac:dyDescent="0.3">
      <c r="A11" s="43" t="s">
        <v>68</v>
      </c>
      <c r="B11" s="39" t="s">
        <v>69</v>
      </c>
      <c r="C11" s="42">
        <v>193.5</v>
      </c>
      <c r="D11" s="39" t="s">
        <v>57</v>
      </c>
      <c r="E11" s="41">
        <f t="shared" si="0"/>
        <v>116.1</v>
      </c>
      <c r="F11" s="46">
        <f t="shared" si="1"/>
        <v>319.27499999999998</v>
      </c>
    </row>
    <row r="12" spans="1:9" x14ac:dyDescent="0.3">
      <c r="A12" s="43" t="s">
        <v>70</v>
      </c>
      <c r="B12" s="39" t="s">
        <v>71</v>
      </c>
      <c r="C12" s="42">
        <v>24.55</v>
      </c>
      <c r="D12" s="39" t="s">
        <v>57</v>
      </c>
      <c r="E12" s="41">
        <f t="shared" si="0"/>
        <v>14.73</v>
      </c>
      <c r="F12" s="46">
        <f t="shared" si="1"/>
        <v>40.5075</v>
      </c>
    </row>
    <row r="13" spans="1:9" x14ac:dyDescent="0.3">
      <c r="A13" s="43" t="s">
        <v>72</v>
      </c>
      <c r="B13" s="39" t="s">
        <v>73</v>
      </c>
      <c r="C13" s="42">
        <v>328.92</v>
      </c>
      <c r="D13" s="39" t="s">
        <v>56</v>
      </c>
      <c r="E13" s="41">
        <f t="shared" si="0"/>
        <v>197.352</v>
      </c>
      <c r="F13" s="46">
        <f t="shared" si="1"/>
        <v>542.71799999999996</v>
      </c>
    </row>
    <row r="14" spans="1:9" x14ac:dyDescent="0.3">
      <c r="A14" s="43" t="s">
        <v>74</v>
      </c>
      <c r="B14" s="39" t="s">
        <v>75</v>
      </c>
      <c r="C14" s="42">
        <v>211.18</v>
      </c>
      <c r="D14" s="39" t="s">
        <v>56</v>
      </c>
      <c r="E14" s="41">
        <f t="shared" si="0"/>
        <v>126.708</v>
      </c>
      <c r="F14" s="46">
        <f t="shared" si="1"/>
        <v>348.447</v>
      </c>
    </row>
    <row r="15" spans="1:9" x14ac:dyDescent="0.3">
      <c r="A15" s="43" t="s">
        <v>76</v>
      </c>
      <c r="B15" s="39" t="s">
        <v>77</v>
      </c>
      <c r="C15" s="42">
        <v>434.13</v>
      </c>
      <c r="D15" s="39" t="s">
        <v>56</v>
      </c>
      <c r="E15" s="41">
        <f t="shared" si="0"/>
        <v>260.47799999999995</v>
      </c>
      <c r="F15" s="46">
        <f t="shared" si="1"/>
        <v>716.31449999999984</v>
      </c>
    </row>
    <row r="16" spans="1:9" x14ac:dyDescent="0.3">
      <c r="A16" s="43" t="s">
        <v>78</v>
      </c>
      <c r="B16" s="39" t="s">
        <v>79</v>
      </c>
      <c r="C16" s="42">
        <v>267.92</v>
      </c>
      <c r="D16" s="39" t="s">
        <v>56</v>
      </c>
      <c r="E16" s="41">
        <f t="shared" si="0"/>
        <v>160.75200000000001</v>
      </c>
      <c r="F16" s="46">
        <f t="shared" si="1"/>
        <v>442.06800000000004</v>
      </c>
    </row>
    <row r="17" spans="1:6" x14ac:dyDescent="0.3">
      <c r="A17" s="43" t="s">
        <v>80</v>
      </c>
      <c r="B17" s="39" t="s">
        <v>81</v>
      </c>
      <c r="C17" s="42">
        <v>27.36</v>
      </c>
      <c r="D17" s="39" t="s">
        <v>82</v>
      </c>
      <c r="E17" s="41">
        <f t="shared" si="0"/>
        <v>16.415999999999997</v>
      </c>
      <c r="F17" s="46">
        <f t="shared" si="1"/>
        <v>45.143999999999991</v>
      </c>
    </row>
    <row r="18" spans="1:6" x14ac:dyDescent="0.3">
      <c r="A18" s="43" t="s">
        <v>83</v>
      </c>
      <c r="B18" s="39" t="s">
        <v>84</v>
      </c>
      <c r="C18" s="42">
        <v>223.28</v>
      </c>
      <c r="D18" s="39" t="s">
        <v>56</v>
      </c>
      <c r="E18" s="41">
        <f t="shared" si="0"/>
        <v>133.96799999999999</v>
      </c>
      <c r="F18" s="46">
        <f t="shared" si="1"/>
        <v>368.41199999999998</v>
      </c>
    </row>
    <row r="19" spans="1:6" x14ac:dyDescent="0.3">
      <c r="A19" s="66" t="s">
        <v>85</v>
      </c>
      <c r="B19" s="67"/>
      <c r="C19" s="67"/>
      <c r="D19" s="67"/>
      <c r="E19" s="68"/>
      <c r="F19" s="46">
        <f t="shared" si="1"/>
        <v>0</v>
      </c>
    </row>
    <row r="20" spans="1:6" x14ac:dyDescent="0.3">
      <c r="A20" s="43" t="s">
        <v>86</v>
      </c>
      <c r="B20" s="39" t="s">
        <v>87</v>
      </c>
      <c r="C20" s="40">
        <v>1230.08</v>
      </c>
      <c r="D20" s="39" t="s">
        <v>56</v>
      </c>
      <c r="E20" s="41">
        <f t="shared" si="0"/>
        <v>738.048</v>
      </c>
      <c r="F20" s="46">
        <f t="shared" si="1"/>
        <v>2029.6320000000001</v>
      </c>
    </row>
    <row r="21" spans="1:6" x14ac:dyDescent="0.3">
      <c r="A21" s="43" t="s">
        <v>88</v>
      </c>
      <c r="B21" s="39" t="s">
        <v>89</v>
      </c>
      <c r="C21" s="42">
        <v>16.37</v>
      </c>
      <c r="D21" s="39" t="s">
        <v>56</v>
      </c>
      <c r="E21" s="41">
        <f t="shared" si="0"/>
        <v>9.822000000000001</v>
      </c>
      <c r="F21" s="46">
        <f t="shared" si="1"/>
        <v>27.010500000000004</v>
      </c>
    </row>
    <row r="22" spans="1:6" x14ac:dyDescent="0.3">
      <c r="A22" s="43" t="s">
        <v>90</v>
      </c>
      <c r="B22" s="39" t="s">
        <v>91</v>
      </c>
      <c r="C22" s="42">
        <v>193.5</v>
      </c>
      <c r="D22" s="39" t="s">
        <v>57</v>
      </c>
      <c r="E22" s="41">
        <f t="shared" si="0"/>
        <v>116.1</v>
      </c>
      <c r="F22" s="46">
        <f t="shared" si="1"/>
        <v>319.27499999999998</v>
      </c>
    </row>
    <row r="23" spans="1:6" x14ac:dyDescent="0.3">
      <c r="A23" s="43" t="s">
        <v>92</v>
      </c>
      <c r="B23" s="39" t="s">
        <v>93</v>
      </c>
      <c r="C23" s="42">
        <v>24.55</v>
      </c>
      <c r="D23" s="39" t="s">
        <v>57</v>
      </c>
      <c r="E23" s="41">
        <f t="shared" si="0"/>
        <v>14.73</v>
      </c>
      <c r="F23" s="46">
        <f t="shared" si="1"/>
        <v>40.5075</v>
      </c>
    </row>
    <row r="24" spans="1:6" x14ac:dyDescent="0.3">
      <c r="A24" s="43" t="s">
        <v>94</v>
      </c>
      <c r="B24" s="39" t="s">
        <v>95</v>
      </c>
      <c r="C24" s="42">
        <v>328.92</v>
      </c>
      <c r="D24" s="39" t="s">
        <v>56</v>
      </c>
      <c r="E24" s="41">
        <f t="shared" si="0"/>
        <v>197.352</v>
      </c>
      <c r="F24" s="46">
        <f t="shared" si="1"/>
        <v>542.71799999999996</v>
      </c>
    </row>
    <row r="25" spans="1:6" x14ac:dyDescent="0.3">
      <c r="A25" s="43" t="s">
        <v>96</v>
      </c>
      <c r="B25" s="39" t="s">
        <v>97</v>
      </c>
      <c r="C25" s="42">
        <v>211.18</v>
      </c>
      <c r="D25" s="39" t="s">
        <v>56</v>
      </c>
      <c r="E25" s="41">
        <f t="shared" si="0"/>
        <v>126.708</v>
      </c>
      <c r="F25" s="46">
        <f t="shared" si="1"/>
        <v>348.447</v>
      </c>
    </row>
    <row r="26" spans="1:6" x14ac:dyDescent="0.3">
      <c r="A26" s="43" t="s">
        <v>98</v>
      </c>
      <c r="B26" s="39" t="s">
        <v>99</v>
      </c>
      <c r="C26" s="42">
        <v>434.07</v>
      </c>
      <c r="D26" s="39" t="s">
        <v>56</v>
      </c>
      <c r="E26" s="41">
        <f t="shared" si="0"/>
        <v>260.44200000000001</v>
      </c>
      <c r="F26" s="46">
        <f t="shared" si="1"/>
        <v>716.21550000000002</v>
      </c>
    </row>
    <row r="27" spans="1:6" x14ac:dyDescent="0.3">
      <c r="A27" s="43" t="s">
        <v>100</v>
      </c>
      <c r="B27" s="39" t="s">
        <v>101</v>
      </c>
      <c r="C27" s="42">
        <v>267.92</v>
      </c>
      <c r="D27" s="39" t="s">
        <v>56</v>
      </c>
      <c r="E27" s="41">
        <f t="shared" si="0"/>
        <v>160.75200000000001</v>
      </c>
      <c r="F27" s="46">
        <f t="shared" si="1"/>
        <v>442.06800000000004</v>
      </c>
    </row>
    <row r="28" spans="1:6" x14ac:dyDescent="0.3">
      <c r="A28" s="43" t="s">
        <v>102</v>
      </c>
      <c r="B28" s="39" t="s">
        <v>103</v>
      </c>
      <c r="C28" s="42">
        <v>223.28</v>
      </c>
      <c r="D28" s="39" t="s">
        <v>56</v>
      </c>
      <c r="E28" s="41">
        <f t="shared" si="0"/>
        <v>133.96799999999999</v>
      </c>
      <c r="F28" s="46">
        <f t="shared" si="1"/>
        <v>368.41199999999998</v>
      </c>
    </row>
    <row r="29" spans="1:6" x14ac:dyDescent="0.3">
      <c r="A29" s="66" t="s">
        <v>104</v>
      </c>
      <c r="B29" s="67"/>
      <c r="C29" s="67"/>
      <c r="D29" s="67"/>
      <c r="E29" s="68"/>
      <c r="F29" s="46">
        <f t="shared" si="1"/>
        <v>0</v>
      </c>
    </row>
    <row r="30" spans="1:6" x14ac:dyDescent="0.3">
      <c r="A30" s="43" t="s">
        <v>105</v>
      </c>
      <c r="B30" s="39" t="s">
        <v>46</v>
      </c>
      <c r="C30" s="40">
        <v>1436.48</v>
      </c>
      <c r="D30" s="39" t="s">
        <v>56</v>
      </c>
      <c r="E30" s="41">
        <f t="shared" si="0"/>
        <v>861.88800000000003</v>
      </c>
      <c r="F30" s="46">
        <f t="shared" si="1"/>
        <v>2370.192</v>
      </c>
    </row>
    <row r="31" spans="1:6" x14ac:dyDescent="0.3">
      <c r="A31" s="43" t="s">
        <v>106</v>
      </c>
      <c r="B31" s="39" t="s">
        <v>47</v>
      </c>
      <c r="C31" s="40">
        <v>3763.17</v>
      </c>
      <c r="D31" s="39" t="s">
        <v>56</v>
      </c>
      <c r="E31" s="41">
        <f t="shared" si="0"/>
        <v>2257.902</v>
      </c>
      <c r="F31" s="46">
        <f t="shared" si="1"/>
        <v>6209.2304999999997</v>
      </c>
    </row>
    <row r="32" spans="1:6" x14ac:dyDescent="0.3">
      <c r="A32" s="43" t="s">
        <v>107</v>
      </c>
      <c r="B32" s="39" t="s">
        <v>48</v>
      </c>
      <c r="C32" s="42">
        <v>960.5</v>
      </c>
      <c r="D32" s="39" t="s">
        <v>56</v>
      </c>
      <c r="E32" s="41">
        <f t="shared" si="0"/>
        <v>576.29999999999995</v>
      </c>
      <c r="F32" s="46">
        <f t="shared" si="1"/>
        <v>1584.8249999999998</v>
      </c>
    </row>
    <row r="33" spans="1:6" x14ac:dyDescent="0.3">
      <c r="A33" s="43" t="s">
        <v>108</v>
      </c>
      <c r="B33" s="39" t="s">
        <v>49</v>
      </c>
      <c r="C33" s="40">
        <v>1498.77</v>
      </c>
      <c r="D33" s="39" t="s">
        <v>56</v>
      </c>
      <c r="E33" s="41">
        <f t="shared" si="0"/>
        <v>899.26199999999994</v>
      </c>
      <c r="F33" s="46">
        <f t="shared" si="1"/>
        <v>2472.9704999999999</v>
      </c>
    </row>
  </sheetData>
  <mergeCells count="9">
    <mergeCell ref="A3:E3"/>
    <mergeCell ref="A8:E8"/>
    <mergeCell ref="A19:E19"/>
    <mergeCell ref="A29:E29"/>
    <mergeCell ref="F1:F2"/>
    <mergeCell ref="A1:A2"/>
    <mergeCell ref="B1:B2"/>
    <mergeCell ref="C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Stella</vt:lpstr>
      <vt:lpstr>Прайс</vt:lpstr>
      <vt:lpstr>Stella!Область_печати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2026-02-06T13:02:32Z</dcterms:modified>
</cp:coreProperties>
</file>